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'дод.6'!$A$2:$W$1145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83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<sst xmlns="http://schemas.openxmlformats.org/spreadsheetml/2006/main" count="1262" uniqueCount="1126">
  <si>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</si>
  <si>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</si>
  <si>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</si>
  <si>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</si>
  <si>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</si>
  <si>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</si>
  <si>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</si>
  <si>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</si>
  <si>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Героїв Дніпра  (від вул. Сержанта Жужоми до вул. Богдана Хмельницького), в м. Черкаси (з ПКД)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</si>
  <si>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</si>
  <si>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</si>
  <si>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</si>
  <si>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</si>
  <si>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</si>
  <si>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</si>
  <si>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</si>
  <si>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</si>
  <si>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</si>
  <si>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</si>
  <si>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</si>
  <si>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</si>
  <si>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</si>
  <si>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</si>
  <si>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</si>
  <si>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</si>
  <si>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</si>
  <si>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</si>
  <si>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</si>
  <si>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</si>
  <si>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</si>
  <si>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</si>
  <si>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</si>
  <si>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</si>
  <si>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Будівництво вул. Квіткова від вул. Сумгаїтської  до вул. Хоменко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</si>
  <si>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</si>
  <si>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</si>
  <si>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</si>
  <si>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</si>
  <si>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</si>
  <si>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</si>
  <si>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</si>
  <si>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</si>
  <si>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</si>
  <si>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</si>
  <si>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</si>
  <si>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</si>
  <si>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</si>
  <si>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</si>
  <si>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</si>
  <si>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</si>
  <si>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</si>
  <si>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</si>
  <si>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</si>
  <si>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</si>
  <si>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</si>
  <si>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Капітальний ремонт (покрівлі) будівлі "Палацу одруження" (з ПКД)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</si>
  <si>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</si>
  <si>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</si>
  <si>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</si>
  <si>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</si>
  <si>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</si>
  <si>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</si>
  <si>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</si>
  <si>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</si>
  <si>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</si>
  <si>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</si>
  <si>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</si>
  <si>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</si>
  <si>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</si>
  <si>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</si>
  <si>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</si>
  <si>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</si>
  <si>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</si>
  <si>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</si>
  <si>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</si>
  <si>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</si>
  <si>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</si>
  <si>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</si>
  <si>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</si>
  <si>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</si>
  <si>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</si>
  <si>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</si>
  <si>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</si>
  <si>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</si>
  <si>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</si>
  <si>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</si>
  <si>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</si>
  <si>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</si>
  <si>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</si>
  <si>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</si>
  <si>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</si>
  <si>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</si>
  <si>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</si>
  <si>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</si>
  <si>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</si>
  <si>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</si>
  <si>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</si>
  <si>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</si>
  <si>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</si>
  <si>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</si>
  <si>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</si>
  <si>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</si>
  <si>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</si>
  <si>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</si>
  <si>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</si>
  <si>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</si>
  <si>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</si>
  <si>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</si>
  <si>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</si>
  <si>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</si>
  <si>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</si>
  <si>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</si>
  <si>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</si>
  <si>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</si>
  <si>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</si>
  <si>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</si>
  <si>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</si>
  <si>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</si>
  <si>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Реконструкція будівлі (фасаду) Черкаський навчально-виховний комплекс ЗОШ № 34 ліцей спортивного профілю (з ПКД)</t>
  </si>
  <si>
    <t>Придбання медичного обладнання "Гінекологічний аспіратор"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</si>
  <si>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будівлі КДЮСШ "Вулкан" за адресою: вул. Благовісна, 170, м. Черкаси (з ПКД) (за рахунок субвенції з обласного бюджету)</t>
  </si>
  <si>
    <t xml:space="preserve">Реконструкція пам'ятника загиблим в Афганістані та інших локальних конфліктах в єдиному меморіальному комплексі по бульвару Шевченка в м. Черкасах  (за рахунок субвенції з обласного бюджету 624756,0 грн.) 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</si>
  <si>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</si>
  <si>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</si>
  <si>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</si>
  <si>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</si>
  <si>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</si>
  <si>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</si>
  <si>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</si>
  <si>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</si>
  <si>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</si>
  <si>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</si>
  <si>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</si>
  <si>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</si>
  <si>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</si>
  <si>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</si>
  <si>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</si>
  <si>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</si>
  <si>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</si>
  <si>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</si>
  <si>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</si>
  <si>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</si>
  <si>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</si>
  <si>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</si>
  <si>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</si>
  <si>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</si>
  <si>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</si>
  <si>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</si>
  <si>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</si>
  <si>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</si>
  <si>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</si>
  <si>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</si>
  <si>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будівлі (внутрішні інженерні мережі)  ДНЗ № 90 (з ПКД)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</si>
  <si>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</si>
  <si>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</si>
  <si>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</si>
  <si>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</si>
  <si>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</si>
  <si>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</si>
  <si>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</si>
  <si>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</si>
  <si>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</si>
  <si>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</si>
  <si>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Капітальний ремонт покрівлі спеціалізованої школи №17 та часткова заміна вікон (з ПКД)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</si>
  <si>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</si>
  <si>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</si>
  <si>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</si>
  <si>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</si>
  <si>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</si>
  <si>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</si>
  <si>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</si>
  <si>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</si>
  <si>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</si>
  <si>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</si>
  <si>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</si>
  <si>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</si>
  <si>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</si>
  <si>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</si>
  <si>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</si>
  <si>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</si>
  <si>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</si>
  <si>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</si>
  <si>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</si>
  <si>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</si>
  <si>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</si>
  <si>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</si>
  <si>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</si>
  <si>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</si>
  <si>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</si>
  <si>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</si>
  <si>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</si>
  <si>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</si>
  <si>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</si>
  <si>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</si>
  <si>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</si>
  <si>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Придбання обладнання і предметів довгострокового користування</t>
  </si>
  <si>
    <t>7518600</t>
  </si>
  <si>
    <t>8600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</si>
  <si>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</si>
  <si>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</si>
  <si>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>Реконструкція будівлі СШ № 3 (з ПКД)</t>
  </si>
  <si>
    <t>Реконструкція прилеглої території СШ № 17 (з ПКД)</t>
  </si>
  <si>
    <t>Реконструкція будівлі Черкаської загальноосвітньої школи  Ι-ΙΙΙ ступенів № 30 Черкаської міської ради (з ПКД)</t>
  </si>
  <si>
    <t>Капітальний ремонт будівлі (покрівля)  ДНЗ № 87 (з ПКД)</t>
  </si>
  <si>
    <t>Капітальний ремонт будівлі (спортивна зала для заняття греко-римською боротьбою) ЗОШ № 15 (з ПКД)</t>
  </si>
  <si>
    <t>Капітальний ремонт будівлі(санітарні вузли) ЗОШ № 30</t>
  </si>
  <si>
    <t>Реконструкція спортивного майданчика №3 з улаштуванням штучного покриття 40х60 (штучна трава) для гри в футбол на КП "Центральний стадіон" вул. Смілянська, 78 м. Черкаси</t>
  </si>
  <si>
    <t>Реконструкція будівлі (заміна вікон) ДНЗ № 41 (з ПКД)</t>
  </si>
  <si>
    <t>Реконструкція будівлі (фасад) ДМШ №2 (з ПКД)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</si>
  <si>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</si>
  <si>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</si>
  <si>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</si>
  <si>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</si>
  <si>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</si>
  <si>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</si>
  <si>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</si>
  <si>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СШ № 17 (внутрішні мережі) (з ПКД)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</si>
  <si>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</si>
  <si>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</si>
  <si>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</si>
  <si>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</si>
  <si>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</si>
  <si>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</si>
  <si>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</si>
  <si>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</si>
  <si>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</si>
  <si>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</si>
  <si>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</si>
  <si>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</si>
  <si>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</si>
  <si>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</si>
  <si>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</si>
  <si>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</si>
  <si>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</si>
  <si>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</si>
  <si>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</si>
  <si>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</si>
  <si>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</si>
  <si>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</si>
  <si>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</si>
  <si>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</si>
  <si>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</si>
  <si>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</si>
  <si>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</si>
  <si>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</si>
  <si>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</si>
  <si>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Реконструкція будівлі (фасад) ДНЗ № 84  Черкаської міської ради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</si>
  <si>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</si>
  <si>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</si>
  <si>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</si>
  <si>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</si>
  <si>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</si>
  <si>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</si>
  <si>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</si>
  <si>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</si>
  <si>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</si>
  <si>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</si>
  <si>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</si>
  <si>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</si>
  <si>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</si>
  <si>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Геоінформаційна система водопостачання та водовідведення  м. Черкаси</t>
  </si>
  <si>
    <t>Капітальний ремонт тролейбусної мережі м. Черкаси</t>
  </si>
  <si>
    <t>Придбання автобусу загального призначення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</si>
  <si>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</si>
  <si>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</si>
  <si>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</si>
  <si>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</si>
  <si>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</si>
  <si>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</si>
  <si>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</si>
  <si>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</si>
  <si>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</si>
  <si>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</si>
  <si>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</si>
  <si>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</si>
  <si>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</si>
  <si>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</si>
  <si>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</si>
  <si>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</si>
  <si>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</si>
  <si>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</si>
  <si>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</si>
  <si>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</si>
  <si>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</si>
  <si>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</si>
  <si>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</si>
  <si>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</si>
  <si>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</si>
  <si>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</si>
  <si>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</si>
  <si>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</si>
  <si>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</si>
  <si>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</si>
  <si>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</si>
  <si>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</si>
  <si>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</si>
  <si>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Реконструкція прибудинкової території 31, 33 по вул. Симиренківська, 223, 225, 229 по вул. Гетьмана Сагайдачного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</si>
  <si>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</si>
  <si>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вул. Юрія Іллєнка</t>
  </si>
  <si>
    <t>Капітальний ремонт прибудинкової території житлового будинку вул. Нижня Горова, 103</t>
  </si>
  <si>
    <t>Капітальний ремонт прибудинкової території житлового будинку вул. Нижня Горова, 105</t>
  </si>
  <si>
    <t>Капітальний ремонт прибудинкової території житлового будинку по вул. В. Чорновола, 142</t>
  </si>
  <si>
    <t>Капітальний ремонт прибудинкової території житлового будинку по вул. В. Чорновола, 158/1</t>
  </si>
  <si>
    <t>Капітальний ремонт прибудинкової території житлового будинку по вул. С.Кішки, 185/1</t>
  </si>
  <si>
    <t>Капітальний ремонт міжквартального проїзду по вул. Чехова, 10</t>
  </si>
  <si>
    <t>Капітальний ремонт міжквартального проїзду по вул. Юрія Іллєнка, 6</t>
  </si>
  <si>
    <t>Реконструкція внутрішньобудинкових мереж теплопостачання в житловому будинку № 214 по вул. Благовісній</t>
  </si>
  <si>
    <t>Капітальний ремонт міжквартального проїзду від вул. Різдвяна до ЗОШ № 9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</si>
  <si>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</si>
  <si>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</si>
  <si>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</si>
  <si>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</si>
  <si>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</si>
  <si>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</si>
  <si>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</si>
  <si>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 xml:space="preserve">Придбання спортивного обладнання для Гімназії № 9 </t>
  </si>
  <si>
    <t>Реконструкція будівлі  ДНЗ №62 (з ПКД)</t>
  </si>
  <si>
    <t>Капітальний ремонт будівлі (внутрішні інженерні мережі) дошкільного навчального закладу № 33 (з ПКД)</t>
  </si>
  <si>
    <t>Капітальний ремонт будівлі ДНЗ №43 (з ПКД)</t>
  </si>
  <si>
    <t xml:space="preserve">Капітальний ремонт будівлі (санітарні вузли) Черкаської спеціалізованої школи І-ІІІ ступенів № 13 (з ПКД) </t>
  </si>
  <si>
    <t>Капітальний ремонт будівлі (центральний вхід) СШ І-ІІІ ст. № 17 (з ПКД)</t>
  </si>
  <si>
    <t>Придбання павільйону для Клубу юних моряків з флотилією ЧМР</t>
  </si>
  <si>
    <t>Капітальний ремонт будівлі ДМШ № 3 (з ПКД)</t>
  </si>
  <si>
    <t>Капітальний ремонт будівлі (актова зала)  Черкаського міського Будинку культури ім. І. Кулика</t>
  </si>
  <si>
    <t>Реконструкція будівлі ДНЗ №22 (з ПКД)</t>
  </si>
  <si>
    <t>Реконструкція будівлі ДНЗ № 76</t>
  </si>
  <si>
    <t>Реконструкція будівлі (покрівля) ЗОШ № 11</t>
  </si>
  <si>
    <t>Реконструкція будівлі (фасад) ЗОШ № 11</t>
  </si>
  <si>
    <t>Реконструкція запасного футбольного поля на території КП «Центральний стадіон» (з ПКД)</t>
  </si>
  <si>
    <t>Капітальний ремонт прилеглої території дошкільного навчального закладу № 57 (з ПКД)</t>
  </si>
  <si>
    <t xml:space="preserve">Капітальний ремонт будівлі (покрівля) ЗОШ №32 </t>
  </si>
  <si>
    <t>Внески в статутний капітал КП "Центральний стадіон", у т.ч.:</t>
  </si>
  <si>
    <t>Капітальний ремонт комплексу з басейном "Сокіл" по вул. Смілянській, 78</t>
  </si>
  <si>
    <t>Реконструкція прилеглої території гімназії № 9 (з ПКД)</t>
  </si>
  <si>
    <t>Капітальний ремонт вул. Сумгаїтська (від вул. Одеської до вул. 30-річчя Перемоги) в м. Черкаси (з ПКД)</t>
  </si>
  <si>
    <t>Реконструкція будівлі ДНЗ №13 (з ПКД)</t>
  </si>
  <si>
    <t>Реконструкція будівлі (фасад) ДМШ №1ім. М.В. Лисенка  (з ПКД) за адресою : м.Черкаси , вул Б.Вишневецького 31,33,35</t>
  </si>
  <si>
    <t>Капітальний ремонт прилеглої території ДНЗ №65 (з ПКД)</t>
  </si>
  <si>
    <t>Капітальний ремонт прилеглої території (спортивний майданчик) СШ № 28 (з ПКД) (реалізація проектів-переможців визначених згідно Програми "Громадський бюджет міста Черкаси на 2015-2019 роки")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</si>
  <si>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</si>
  <si>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</si>
  <si>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</si>
  <si>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</si>
  <si>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</si>
  <si>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</si>
  <si>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житлового будинку №164 по вул. Нижня Горова (інженерні мережі)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</si>
  <si>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</si>
  <si>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</si>
  <si>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</si>
  <si>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</si>
  <si>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</si>
  <si>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</si>
  <si>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</si>
  <si>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</si>
  <si>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</si>
  <si>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Капітальний ремонт міжквартального проїзду по вулиці Одеській між будинками 8/а-8, 10/1, 12/1, 14</t>
  </si>
  <si>
    <t>Капітальний ремонт вул. О.Панченка (тротуар, непарна сторона, від буд. 13/1 до вул. М.Старицького)</t>
  </si>
  <si>
    <t>Будівництво контейнерних майданчиків для збору ТПВ (з ПКД)</t>
  </si>
  <si>
    <t>Капремонт вул. 2-го Українського Фронту</t>
  </si>
  <si>
    <t>Реконструкція будівлі  КЗ "Третя Черкаська міська лікарня швидкої медичної допомоги" ЧМР (система медичного газопостачання) (розробка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</si>
  <si>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</si>
  <si>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</si>
  <si>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</si>
  <si>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</si>
  <si>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</si>
  <si>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</si>
  <si>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</si>
  <si>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</si>
  <si>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</si>
  <si>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</si>
  <si>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</si>
  <si>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</si>
  <si>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</si>
  <si>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</si>
  <si>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</si>
  <si>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</si>
  <si>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</si>
  <si>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</si>
  <si>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</si>
  <si>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Капітальний ремонт покрівлі адміністративної будівлі по бул. Шевченка, 307 (з ПКД)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</si>
  <si>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</si>
  <si>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</si>
  <si>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</si>
  <si>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</si>
  <si>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</si>
  <si>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</si>
  <si>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</si>
  <si>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</si>
  <si>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</si>
  <si>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</si>
  <si>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</si>
  <si>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</si>
  <si>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</si>
  <si>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</si>
  <si>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</si>
  <si>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</si>
  <si>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</si>
  <si>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</si>
  <si>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</si>
  <si>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</si>
  <si>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</si>
  <si>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</si>
  <si>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</si>
  <si>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</si>
  <si>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</si>
  <si>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</si>
  <si>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</si>
  <si>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</si>
  <si>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</si>
  <si>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</si>
  <si>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</si>
  <si>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</si>
  <si>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</si>
  <si>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</si>
  <si>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</si>
  <si>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</si>
  <si>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</si>
  <si>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</si>
  <si>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</si>
  <si>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</si>
  <si>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</si>
  <si>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</si>
  <si>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</si>
  <si>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</si>
  <si>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</si>
  <si>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</si>
  <si>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</si>
  <si>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</si>
  <si>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</si>
  <si>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</si>
  <si>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</si>
  <si>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Будівництво полігону твердих побутових відходів в районі с.Руська Поляна І черга (з ПКД)</t>
  </si>
  <si>
    <t>Реконструкція спортивного майданчика за адресою вул.Новопречистенська (біля житлового будинку № 31/1) (покриття) (Програма "Громадський бюджет міста Черкаси на 2015-2019 роки" реалізація проектів-переможців) (з ПКД)</t>
  </si>
  <si>
    <t>Реконструкція житлового будинку по вул. Гагаріна, 45 з посиленням несучих конструкцій (усунення аварійного стану першого під'їзду)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</si>
  <si>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 (з ПКД)</t>
  </si>
  <si>
    <t>Прибудова до Палацу молоді по вул.Сумгаїтській, 12 в м. Черкаси (з ПКД)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</si>
  <si>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</si>
  <si>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</si>
  <si>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</si>
  <si>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</si>
  <si>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</si>
  <si>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</si>
  <si>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</si>
  <si>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</si>
  <si>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</si>
  <si>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</si>
  <si>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</si>
  <si>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</si>
  <si>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</si>
  <si>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</si>
  <si>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</si>
  <si>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</si>
  <si>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</si>
  <si>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</si>
  <si>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</si>
  <si>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</si>
  <si>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</si>
  <si>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</si>
  <si>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</si>
  <si>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</si>
  <si>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</si>
  <si>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</si>
  <si>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</si>
  <si>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</si>
  <si>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</si>
  <si>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вул. Небесної Сотні (тротуар  від бульв. Шевченка до вул. Хрещатик) (з ПКД)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</si>
  <si>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</si>
  <si>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</si>
  <si>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</si>
  <si>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</si>
  <si>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</si>
  <si>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</si>
  <si>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</si>
  <si>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</si>
  <si>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</si>
  <si>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</si>
  <si>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</si>
  <si>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</si>
  <si>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</si>
  <si>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</si>
  <si>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</si>
  <si>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</si>
  <si>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</si>
  <si>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прибудинкової території житлового будинку по вул. Академіка Корольова, 14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</si>
  <si>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</si>
  <si>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прибудинкових територій житлового будинку № 220 по вул. Самійла Кішки</t>
  </si>
  <si>
    <t>Будівництво каналізаційної насосної станції з мережами напірної та самопливної каналізації по вул. Дахнівська в м. Черкаси (з ПКД)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</si>
  <si>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</si>
  <si>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</si>
  <si>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</si>
  <si>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</si>
  <si>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</si>
  <si>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</si>
  <si>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Будівництво мережі зовнішнього освітлення прибудинкової території житлових будинків № 43 по вул. Сергія Амброса та № 9 по вул. Різдвяна</t>
  </si>
  <si>
    <t>1412010</t>
  </si>
  <si>
    <t>2010</t>
  </si>
  <si>
    <t>Багатопрофільна стаціонарна медична допомога населенню</t>
  </si>
  <si>
    <t>Капітальний ремонт вул. Волкова (від вул. Чорновола до вул. Різдвяної)</t>
  </si>
  <si>
    <t>Капітальний ремонт вул. Чіковані (від вул. Нечуй-Левицького до вул. Чорновола)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</si>
  <si>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</si>
  <si>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</si>
  <si>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</si>
  <si>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</si>
  <si>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</si>
  <si>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</si>
  <si>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</si>
  <si>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</si>
  <si>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</si>
  <si>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</si>
  <si>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</si>
  <si>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</si>
  <si>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</si>
  <si>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Добудова спортивно-оздоровчого корпусу дитячого садочку №74 пров. Боженка, 14 (з ПКД)</t>
  </si>
  <si>
    <t>Реконструкція вул. Олени Теліги від вул. В.Вергая до вул. М.Грушевського (з ПКД)</t>
  </si>
  <si>
    <t xml:space="preserve"> Капітальний ремонт прибудинкової території житлового будинку вул. Толстого, 78 </t>
  </si>
  <si>
    <t>Капітальний ремонт житлового  будинку по вул. Різдвяна,4 (внутрішньобудинкові мережі електропостачання)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</si>
  <si>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</si>
  <si>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</si>
  <si>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</si>
  <si>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</si>
  <si>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</si>
  <si>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</si>
  <si>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</si>
  <si>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</si>
  <si>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</si>
  <si>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</si>
  <si>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</si>
  <si>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</si>
  <si>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</si>
  <si>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 xml:space="preserve"> Внески в статутний капітал КП "Соснівська СУБ", у т.ч.:</t>
  </si>
  <si>
    <t>Будівництво мережі зовнішнього освітлення прибудинкової території житлових будинків № 16, 18, 20 по вул. Ложешнікова</t>
  </si>
  <si>
    <t>Будівництво житлового будинку по вул. Якубовського, 17, м. Черкаси (з ПКД)</t>
  </si>
  <si>
    <t>Капітальний ремонт прибудинкової територій житлового будинку 399/1 по бул. Шевченка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</si>
  <si>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</si>
  <si>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</si>
  <si>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</si>
  <si>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</si>
  <si>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</si>
  <si>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</si>
  <si>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</si>
  <si>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</si>
  <si>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</si>
  <si>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</si>
  <si>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</si>
  <si>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</si>
  <si>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</si>
  <si>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</si>
  <si>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</si>
  <si>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вул. Чайковського (від вул. Чорновола до вул. Самійла Кішки)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</si>
  <si>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</si>
  <si>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</si>
  <si>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</si>
  <si>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</si>
  <si>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</si>
  <si>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</si>
  <si>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</si>
  <si>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</si>
  <si>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</si>
  <si>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</si>
  <si>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</si>
  <si>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</si>
  <si>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</si>
  <si>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</si>
  <si>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</si>
  <si>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</si>
  <si>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</si>
  <si>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</si>
  <si>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</si>
  <si>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</si>
  <si>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</si>
  <si>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</si>
  <si>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</si>
  <si>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</si>
  <si>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</si>
  <si>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</si>
  <si>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</si>
  <si>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</si>
  <si>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</si>
  <si>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</si>
  <si>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</si>
  <si>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</si>
  <si>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</si>
  <si>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</si>
  <si>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</si>
  <si>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</si>
  <si>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</si>
  <si>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</si>
  <si>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</si>
  <si>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</si>
  <si>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</si>
  <si>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</si>
  <si>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</si>
  <si>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</si>
  <si>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</si>
  <si>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</si>
  <si>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</si>
  <si>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</si>
  <si>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</si>
  <si>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</si>
  <si>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</si>
  <si>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</si>
  <si>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</si>
  <si>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</si>
  <si>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</si>
  <si>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</si>
  <si>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</si>
  <si>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</si>
  <si>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</si>
  <si>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</si>
  <si>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територій житлового будинку 51 по вул. Сумгаїтська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</si>
  <si>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</si>
  <si>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</si>
  <si>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</si>
  <si>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</si>
  <si>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</si>
  <si>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</si>
  <si>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</si>
  <si>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</si>
  <si>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</si>
  <si>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</si>
  <si>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</si>
  <si>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</si>
  <si>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</si>
  <si>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провулку Можайського</t>
  </si>
  <si>
    <t>Капітальний ремонт провулку Ханенка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</si>
  <si>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</si>
  <si>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</si>
  <si>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</si>
  <si>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</si>
  <si>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</si>
  <si>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</si>
  <si>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</si>
  <si>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</si>
  <si>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</si>
  <si>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</si>
  <si>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</si>
  <si>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</si>
  <si>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</si>
  <si>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</si>
  <si>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</si>
  <si>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просп. Хіміків (тротуар, парна сторона від вул. М. Залізняка до провулку Праці)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</si>
  <si>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</si>
  <si>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</si>
  <si>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</si>
  <si>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</si>
  <si>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</si>
  <si>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</si>
  <si>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</si>
  <si>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</si>
  <si>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</si>
  <si>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</si>
  <si>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</si>
  <si>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</si>
  <si>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</si>
  <si>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</si>
  <si>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</si>
  <si>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</si>
  <si>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</si>
  <si>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</si>
  <si>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</si>
  <si>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</si>
  <si>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</si>
  <si>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</si>
  <si>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</si>
  <si>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</si>
  <si>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</si>
  <si>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</si>
  <si>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</si>
  <si>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Льодового Палацу в м. Черкаси (з ПКД)</t>
  </si>
  <si>
    <t>Капітальний ремонт  будівлі КНП "Перша Черкаська міська лікарня" ЧМР (з розробкою ПКД)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</si>
  <si>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</si>
  <si>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</si>
  <si>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</si>
  <si>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</si>
  <si>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</si>
  <si>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</si>
  <si>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</si>
  <si>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</si>
  <si>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</si>
  <si>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</si>
  <si>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</si>
  <si>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</si>
  <si>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</si>
  <si>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</si>
  <si>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</si>
  <si>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</si>
  <si>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</si>
  <si>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</si>
  <si>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</si>
  <si>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</si>
  <si>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</si>
  <si>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</si>
  <si>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</si>
  <si>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</si>
  <si>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</si>
  <si>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</si>
  <si>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</si>
  <si>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</si>
  <si>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</si>
  <si>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</si>
  <si>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</si>
  <si>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Методична робота, інші заходи у сфері народної освіти</t>
  </si>
  <si>
    <t>070804</t>
  </si>
  <si>
    <t>Капітальний ремонт об"єктів вулично-дорожньої мережі (тротуарів)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</si>
  <si>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</si>
  <si>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</si>
  <si>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</si>
  <si>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</si>
  <si>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</si>
  <si>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</si>
  <si>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</si>
  <si>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6650</t>
  </si>
  <si>
    <t>Капітальний ремонт вул. Ільїна від вул. Можайського до вул. М. Грушевського (з ПКД)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</si>
  <si>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</si>
  <si>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</si>
  <si>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Реконструкція вул. Молоткова, м. Черкаси (з ПКД) (ІІ черга)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</si>
  <si>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</si>
  <si>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</si>
  <si>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</si>
  <si>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</si>
  <si>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</si>
  <si>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</si>
  <si>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</si>
  <si>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</si>
  <si>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</si>
  <si>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</si>
  <si>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</si>
  <si>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</si>
  <si>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</si>
  <si>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</si>
  <si>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</si>
  <si>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</si>
  <si>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</si>
  <si>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</si>
  <si>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</si>
  <si>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</si>
  <si>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</si>
  <si>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</si>
  <si>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</si>
  <si>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</si>
  <si>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</si>
  <si>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</si>
  <si>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</si>
  <si>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</si>
  <si>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</si>
  <si>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</si>
  <si>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</si>
  <si>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</si>
  <si>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</si>
  <si>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</si>
  <si>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</si>
  <si>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</si>
  <si>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</si>
  <si>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</si>
  <si>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</si>
  <si>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</si>
  <si>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</si>
  <si>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</si>
  <si>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</si>
  <si>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</si>
  <si>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</si>
  <si>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</si>
  <si>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</si>
  <si>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</si>
  <si>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</si>
  <si>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</si>
  <si>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</si>
  <si>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</si>
  <si>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</si>
  <si>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</si>
  <si>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</si>
  <si>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</si>
  <si>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вул.Яцика, 8/2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</si>
  <si>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</si>
  <si>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</si>
  <si>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</si>
  <si>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</si>
  <si>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</si>
  <si>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</si>
  <si>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</si>
  <si>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</si>
  <si>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</si>
  <si>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</si>
  <si>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</si>
  <si>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</si>
  <si>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</si>
  <si>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</si>
  <si>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</si>
  <si>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</si>
  <si>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</si>
  <si>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</si>
  <si>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</si>
  <si>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</si>
  <si>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</si>
  <si>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</si>
  <si>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</si>
  <si>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</si>
  <si>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</si>
  <si>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</si>
  <si>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Капітальний ремонт будівлі ДНЗ № 2</t>
  </si>
  <si>
    <t>Капітальний ремонт прилеглої території ДНЗ №5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</si>
  <si>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</si>
  <si>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</si>
  <si>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</si>
  <si>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</si>
  <si>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</si>
  <si>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</si>
  <si>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</si>
  <si>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</si>
  <si>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</si>
  <si>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</si>
  <si>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</si>
  <si>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</si>
  <si>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</si>
  <si>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</si>
  <si>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</si>
  <si>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</si>
  <si>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</si>
  <si>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</si>
  <si>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</si>
  <si>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</si>
  <si>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</si>
  <si>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</si>
  <si>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</si>
  <si>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</si>
  <si>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</si>
  <si>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</si>
  <si>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</si>
  <si>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</si>
  <si>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Капітальний ремонт будівлі (санітарні вузли) ДНЗ №  73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</si>
  <si>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</si>
  <si>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</si>
  <si>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</si>
  <si>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</si>
  <si>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</si>
  <si>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</si>
  <si>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</si>
  <si>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</si>
  <si>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</si>
  <si>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</si>
  <si>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</si>
  <si>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</si>
  <si>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</si>
  <si>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</si>
  <si>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</si>
  <si>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</si>
  <si>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</si>
  <si>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</si>
  <si>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</si>
  <si>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</si>
  <si>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</si>
  <si>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</si>
  <si>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</si>
  <si>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</si>
  <si>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</si>
  <si>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</si>
  <si>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</si>
  <si>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</si>
  <si>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</si>
  <si>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</si>
  <si>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</si>
  <si>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житлового фонду об'єднань співвласників багатоквартирних будинків</t>
  </si>
  <si>
    <t>100203</t>
  </si>
  <si>
    <t>0620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</si>
  <si>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</si>
  <si>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</si>
  <si>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</si>
  <si>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</si>
  <si>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</si>
  <si>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</si>
  <si>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</si>
  <si>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Придбання медичного обладнання "Медичний монітор пацієнта" для КЗ "Третя міська лікарня швидкої медичної допомоги" Черкаської міської ради (за рахунок субвенції з обласного бюджету)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</si>
  <si>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</si>
  <si>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</si>
  <si>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</si>
  <si>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</si>
  <si>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</si>
  <si>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</si>
  <si>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</si>
  <si>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</si>
  <si>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</si>
  <si>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</si>
  <si>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</si>
  <si>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у приміщеннях комітетів самоорганізації населення м.Черкаси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</si>
  <si>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</si>
  <si>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</si>
  <si>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</si>
  <si>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</si>
  <si>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</si>
  <si>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</si>
  <si>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</si>
  <si>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</si>
  <si>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</si>
  <si>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</si>
  <si>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</si>
  <si>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</si>
  <si>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</si>
  <si>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</si>
  <si>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</si>
  <si>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</si>
  <si>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</si>
  <si>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</si>
  <si>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</si>
  <si>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</si>
  <si>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Капітальний ремонт міжквартального проїзду до будинку №10 по вул. Чехова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</si>
  <si>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</si>
  <si>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</si>
  <si>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</si>
  <si>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</si>
  <si>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для облаштування дитячого ігрового майданчика для ДНЗ (ясла-садок) № 55 "Лісовий куточок" Черкаської міської ради</t>
  </si>
  <si>
    <t>Капітальний ремонт покрівлі загальноосвітньої школи І-ІІІ ступенів № 5</t>
  </si>
  <si>
    <t>Капітальний ремонт будівлі ДНЗ №91</t>
  </si>
  <si>
    <t>Придбання елементів для дитячого майданчика на прибудинкових територіях біля будинків за адресою: вул. Благовісна, 180 та 180/1</t>
  </si>
  <si>
    <t>Придбання та встановлення одного комплекту поштових скриньок (на 96 відділень) в будинку за адресою вул. Яцика, 8/2</t>
  </si>
  <si>
    <t>Капітальний ремонт тротуару непарної сторони вул. Горького від бул. Шевченка до вул. Гоголя, м. Черкаси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</si>
  <si>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</si>
  <si>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</si>
  <si>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</si>
  <si>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</si>
  <si>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</si>
  <si>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прибудинкової території житлового будинку по вул. Крилова, 63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</si>
  <si>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</si>
  <si>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</si>
  <si>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</si>
  <si>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</si>
  <si>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</si>
  <si>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</si>
  <si>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</si>
  <si>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</si>
  <si>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</si>
  <si>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</si>
  <si>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</si>
  <si>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</si>
  <si>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</si>
  <si>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</si>
  <si>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</si>
  <si>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</si>
  <si>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</si>
  <si>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</si>
  <si>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</si>
  <si>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</si>
  <si>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</si>
  <si>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</si>
  <si>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</si>
  <si>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</si>
  <si>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</si>
  <si>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</si>
  <si>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</si>
  <si>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</si>
  <si>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</si>
  <si>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</si>
  <si>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</si>
  <si>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</si>
  <si>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</si>
  <si>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</si>
  <si>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</si>
  <si>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</si>
  <si>
    <t>Придбання шведської стінки для занять з дітьми з порушенням опорно-рухового апарату для СШ І-ІІІ ст. №3 ЧМР (за рахунок субвенції з державного бюджету)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</si>
  <si>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</si>
  <si>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</si>
  <si>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</si>
  <si>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</si>
  <si>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</si>
  <si>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</si>
  <si>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</si>
  <si>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</si>
  <si>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</si>
  <si>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</si>
  <si>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</si>
  <si>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</si>
  <si>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</si>
  <si>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</si>
  <si>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</si>
  <si>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</si>
  <si>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</si>
  <si>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</si>
  <si>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</si>
  <si>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</si>
  <si>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</si>
  <si>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</si>
  <si>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</si>
  <si>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</si>
  <si>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</si>
  <si>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</si>
  <si>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</si>
  <si>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</si>
  <si>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</si>
  <si>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</si>
  <si>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</si>
  <si>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</si>
  <si>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</si>
  <si>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</si>
  <si>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</si>
  <si>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</si>
  <si>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</si>
  <si>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</si>
  <si>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</si>
  <si>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</si>
  <si>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</si>
  <si>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</si>
  <si>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</si>
  <si>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</si>
  <si>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</si>
  <si>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</si>
  <si>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</si>
  <si>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</si>
  <si>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</si>
  <si>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</si>
  <si>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</si>
  <si>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</si>
  <si>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</si>
  <si>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</si>
  <si>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</si>
  <si>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</si>
  <si>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</si>
  <si>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</si>
  <si>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</si>
  <si>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</si>
  <si>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</si>
  <si>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</si>
  <si>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</si>
  <si>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</si>
  <si>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</si>
  <si>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</si>
  <si>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</si>
  <si>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</si>
  <si>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</si>
  <si>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</si>
  <si>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</si>
  <si>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</si>
  <si>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</si>
  <si>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</si>
  <si>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</si>
  <si>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</si>
  <si>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</si>
  <si>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</si>
  <si>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</si>
  <si>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</si>
  <si>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</si>
  <si>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</si>
  <si>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</si>
  <si>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</si>
  <si>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</si>
  <si>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</si>
  <si>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</si>
  <si>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</si>
  <si>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</si>
  <si>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</si>
  <si>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</si>
  <si>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</si>
  <si>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</si>
  <si>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</si>
  <si>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Капітальний ремонт житлового будинку №168 по вул. Нижня Горова (інженерні мережі)</t>
  </si>
  <si>
    <t>Капітальний ремонт міжквартального проїзду по вул. Чайковського, 63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</si>
  <si>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</si>
  <si>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</si>
  <si>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</si>
  <si>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</si>
  <si>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</si>
  <si>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</si>
  <si>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</si>
  <si>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тротуару від будинку №3 по вул. Генерала Момота до буд №7 по вул. Олексія Панченка в м.Черкаси</t>
  </si>
  <si>
    <t>Капремонт вул Кавказька від вул. Франка до вул. Крилова</t>
  </si>
  <si>
    <t>Капітальний ремонт вул. Благовісна (тротуар, парна сторона, від вул. Б. Хмельницького до вул. Митницька)</t>
  </si>
  <si>
    <t>Капітальний ремонт меморіального комплексу Пагорб Слави (відновлення вічного вогню)</t>
  </si>
  <si>
    <t>Будівництво пляжу "Пушкінський" (з ПДК)</t>
  </si>
  <si>
    <t xml:space="preserve">Будівництво контейнерних майданчиків для збору ТПВ (з ПДК) </t>
  </si>
  <si>
    <t>1416310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</si>
  <si>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</si>
  <si>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 xml:space="preserve">Будівництво полігону твердих побутових відходів в районі с. Руська Поляна (ПКД І, ІІ, ІІІ черга) 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</si>
  <si>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</si>
  <si>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</si>
  <si>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</si>
  <si>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</si>
  <si>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</si>
  <si>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</si>
  <si>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Будівництво спортивного майданчика по вул. Гагаріна (перехрестя з узвозом Франка)</t>
  </si>
  <si>
    <t>Реконструкція мережі зовнішнього освітлення пров. Андрія Яковліва</t>
  </si>
  <si>
    <t>Будівництво дитячого майданчика біля будинку по вул. Максима Залізняка,96/1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</si>
  <si>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</si>
  <si>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</si>
  <si>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міжквартального проїзду по вул. Максима Залізняка, 96</t>
  </si>
  <si>
    <t>Капітальний ремонт міжквартального проїзду по вул. Максима Залізняка, 96/1</t>
  </si>
  <si>
    <t>Капітальний ремонт міжквартального проїзду по вул. Лупиноса,39, вул. Чорновола, 122/41</t>
  </si>
  <si>
    <t>Будівництво контейнерних майданчиків для збору ТПВ по вул. Максима Залізняка, 96/1 (з ПКД)</t>
  </si>
  <si>
    <t>Капітальний ремонт будівлі КДЮСШ "Вікторія" по вул. Пацаєва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</si>
  <si>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</si>
  <si>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</si>
  <si>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</si>
  <si>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травень</t>
  </si>
  <si>
    <t>червень</t>
  </si>
  <si>
    <t>липень</t>
  </si>
  <si>
    <t>Придбання комп'ютерної техніки для ЗНЗ міста (за рахунок залишку освітньої субвенції з державного бюджету 2022531,29)</t>
  </si>
  <si>
    <t>Придбання спортивного інвентарю для КДЮСШ "Спартак" Черкаської міської ради (за рахунок субвенції з ДБ на соціально-економічний розвиток - 3 000 000,00 грн.)</t>
  </si>
  <si>
    <t>Реконструкція будівлі ДНЗ (ясла-садок) № 86 «Світанок» Черкаської міської ради (за рахунок субвенції з ДБ на соціально-економічний розвиток - 1 000 000,00 грн.)</t>
  </si>
  <si>
    <t>Капітальний ремонт житлового будинку по бульв. Шевченка, 132 (утеплення фасаду зі сторони бул. Шевченка з 1 по 4 під'їзд)</t>
  </si>
  <si>
    <t>Технічне (експертне) обстеження житлового будинку по узвозу Замковому, 1</t>
  </si>
  <si>
    <t>Капітальний ремонт житлового будинку № 99 по вул. М.Залізняка (заміна водопідігрівача)</t>
  </si>
  <si>
    <t>Капітальний ремонт житлового будинку по вул. Смілянська, 88 (заміна водопідігрівача)</t>
  </si>
  <si>
    <t>Будівництво мереж електропостачання пляжу «Пушкінський»</t>
  </si>
  <si>
    <t>Капітальний ремонт прилеглої території (спортивний майданчик) ЗОШ № 24 м. Черкаси</t>
  </si>
  <si>
    <t>Профінансовано станом на 04.07.2017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</si>
  <si>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</si>
  <si>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</si>
  <si>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</si>
  <si>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</si>
  <si>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Капітальний ремонт прибудинкової території житлового будинку по вул. Академіка Корольова, 16</t>
  </si>
  <si>
    <t>Капітальний ремонт вул. Гагаріна (тротуар, непарна сторона, від узвозу Франка до узвозу Острозький)</t>
  </si>
  <si>
    <t>Будівництво мережі зовнішнього освітлення прибудинкової території житлових будинків № 103, 105, 115 по вул. Нижня Горова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</si>
  <si>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</si>
  <si>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Реконструкція мережі зовнішнього освітлення провулку Михайла Ханенка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</si>
  <si>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</si>
  <si>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вул.О.Панченка (тротуар, непарна сторона, від вул. Генерала Момота до вул. Смаглія) в м.Черкаси</t>
  </si>
  <si>
    <t>Капітальний ремонт вул. Різдвяна (від бул. Шевченка до вул. Толстого)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</si>
  <si>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</si>
  <si>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</si>
  <si>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міжквартальних проїздів біля будинків:
Яцика, 8/1 та 8/2
провулок Стасова, 16/1
Чайковського, 49
Пилипенка, 8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</si>
  <si>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</si>
  <si>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</si>
  <si>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Реконструкція дитячого майданчику із встановленням спортивного обладнання по вул. Припортова, 35  (реалізація проектів-переможців визначених згідно Програми "Громадський бюджет міста Черкаси на 2015-2019 роки")</t>
  </si>
  <si>
    <t>Будівництво мережі зовнішнього освітлення по вул. Нова</t>
  </si>
  <si>
    <t>Будівництво мережі зовнішнього освітлення по вул. Сонячна</t>
  </si>
  <si>
    <t>Будівництво мережі зовнішнього освітлення прибудинкових територій житлового будинку № 15/1 по пров. Авіаційний</t>
  </si>
  <si>
    <t>Реконструкція вул. Хрещатик (паркувальний майданчик поблизу будинків №№51, 53) в м.Черкаси</t>
  </si>
  <si>
    <t xml:space="preserve">Реконструкція вул. Хрещатик (паркувальний майданчик поблизу будинку №130) </t>
  </si>
  <si>
    <t>Капітальний ремонт вул. Пахарів Хутір (тротуар непарна сторона, від вул.М. Старицького до санаторію "Пролісок")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</si>
</sst>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185" fontId="33" fillId="0" borderId="12" xfId="0" applyNumberFormat="1" applyFont="1" applyFill="1" applyBorder="1" applyAlignment="1">
      <alignment vertical="top" wrapText="1"/>
    </xf>
    <xf numFmtId="0" fontId="30" fillId="0" borderId="13" xfId="0" applyFont="1" applyFill="1" applyBorder="1" applyAlignment="1">
      <alignment horizontal="center" vertical="top" wrapText="1"/>
    </xf>
    <xf numFmtId="4" fontId="31" fillId="0" borderId="19" xfId="0" applyNumberFormat="1" applyFont="1" applyFill="1" applyBorder="1" applyAlignment="1" applyProtection="1">
      <alignment horizontal="center" vertical="center"/>
      <protection/>
    </xf>
    <xf numFmtId="185" fontId="31" fillId="0" borderId="19" xfId="0" applyNumberFormat="1" applyFont="1" applyFill="1" applyBorder="1" applyAlignment="1" applyProtection="1">
      <alignment vertical="top" wrapText="1"/>
      <protection/>
    </xf>
    <xf numFmtId="0" fontId="19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1" fillId="0" borderId="12" xfId="0" applyFont="1" applyFill="1" applyBorder="1" applyAlignment="1">
      <alignment horizontal="left" vertical="top" wrapText="1"/>
    </xf>
    <xf numFmtId="0" fontId="31" fillId="0" borderId="14" xfId="0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5"/>
  <sheetViews>
    <sheetView tabSelected="1" view="pageBreakPreview" zoomScale="55" zoomScaleNormal="70" zoomScaleSheetLayoutView="55" zoomScalePageLayoutView="0" workbookViewId="0" topLeftCell="A2">
      <pane ySplit="1" topLeftCell="BM3" activePane="bottomLeft" state="frozen"/>
      <selection pane="topLeft" activeCell="A2" sqref="A2"/>
      <selection pane="bottomLeft" activeCell="AC5" sqref="AC5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44" t="s">
        <v>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427</v>
      </c>
    </row>
    <row r="4" spans="1:23" ht="117" customHeight="1">
      <c r="A4" s="104" t="s">
        <v>616</v>
      </c>
      <c r="B4" s="104" t="s">
        <v>617</v>
      </c>
      <c r="C4" s="105" t="s">
        <v>428</v>
      </c>
      <c r="D4" s="105" t="s">
        <v>647</v>
      </c>
      <c r="E4" s="163" t="s">
        <v>648</v>
      </c>
      <c r="F4" s="163" t="s">
        <v>649</v>
      </c>
      <c r="G4" s="163" t="s">
        <v>650</v>
      </c>
      <c r="H4" s="163" t="s">
        <v>674</v>
      </c>
      <c r="I4" s="106" t="s">
        <v>675</v>
      </c>
      <c r="J4" s="114" t="s">
        <v>277</v>
      </c>
      <c r="K4" s="19" t="s">
        <v>278</v>
      </c>
      <c r="L4" s="19" t="s">
        <v>279</v>
      </c>
      <c r="M4" s="19" t="s">
        <v>280</v>
      </c>
      <c r="N4" s="19" t="s">
        <v>1089</v>
      </c>
      <c r="O4" s="19" t="s">
        <v>1090</v>
      </c>
      <c r="P4" s="19" t="s">
        <v>1091</v>
      </c>
      <c r="Q4" s="19" t="s">
        <v>284</v>
      </c>
      <c r="R4" s="19" t="s">
        <v>285</v>
      </c>
      <c r="S4" s="19" t="s">
        <v>286</v>
      </c>
      <c r="T4" s="19" t="s">
        <v>287</v>
      </c>
      <c r="U4" s="19" t="s">
        <v>288</v>
      </c>
      <c r="V4" s="19" t="s">
        <v>289</v>
      </c>
      <c r="W4" s="50" t="s">
        <v>1101</v>
      </c>
    </row>
    <row r="5" spans="1:23" s="5" customFormat="1" ht="42" customHeight="1">
      <c r="A5" s="54" t="s">
        <v>220</v>
      </c>
      <c r="B5" s="54"/>
      <c r="C5" s="164"/>
      <c r="D5" s="165" t="s">
        <v>737</v>
      </c>
      <c r="E5" s="11"/>
      <c r="F5" s="67"/>
      <c r="G5" s="67"/>
      <c r="H5" s="67"/>
      <c r="I5" s="66">
        <f>I7+I25+I31+I29</f>
        <v>22785000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159700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2089764.47</v>
      </c>
    </row>
    <row r="6" spans="1:23" s="5" customFormat="1" ht="46.5" customHeight="1">
      <c r="A6" s="37" t="s">
        <v>221</v>
      </c>
      <c r="B6" s="37"/>
      <c r="C6" s="166"/>
      <c r="D6" s="165" t="s">
        <v>737</v>
      </c>
      <c r="E6" s="11"/>
      <c r="F6" s="67"/>
      <c r="G6" s="67"/>
      <c r="H6" s="67"/>
      <c r="I6" s="66">
        <f>I5</f>
        <v>22785000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159700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2089764.47</v>
      </c>
    </row>
    <row r="7" spans="1:23" s="5" customFormat="1" ht="18.75">
      <c r="A7" s="167" t="s">
        <v>556</v>
      </c>
      <c r="B7" s="167" t="s">
        <v>677</v>
      </c>
      <c r="C7" s="167" t="s">
        <v>676</v>
      </c>
      <c r="D7" s="145" t="s">
        <v>868</v>
      </c>
      <c r="E7" s="11"/>
      <c r="F7" s="67"/>
      <c r="G7" s="67"/>
      <c r="H7" s="67"/>
      <c r="I7" s="66">
        <f>SUM(I8:I24)</f>
        <v>9175500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-126300</v>
      </c>
      <c r="N7" s="66">
        <f t="shared" si="2"/>
        <v>435800</v>
      </c>
      <c r="O7" s="66">
        <f t="shared" si="2"/>
        <v>-194323</v>
      </c>
      <c r="P7" s="66">
        <f t="shared" si="2"/>
        <v>2592300</v>
      </c>
      <c r="Q7" s="66">
        <f t="shared" si="2"/>
        <v>1449182</v>
      </c>
      <c r="R7" s="66">
        <f t="shared" si="2"/>
        <v>840000</v>
      </c>
      <c r="S7" s="66">
        <f t="shared" si="2"/>
        <v>1078841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602135.27</v>
      </c>
    </row>
    <row r="8" spans="1:23" s="5" customFormat="1" ht="37.5" customHeight="1">
      <c r="A8" s="168"/>
      <c r="B8" s="168"/>
      <c r="C8" s="168"/>
      <c r="D8" s="146"/>
      <c r="E8" s="12" t="s">
        <v>233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70">I8-J8-K8-L8-M8-N8-O8-P8-Q8-R8-S8-T8-U8</f>
        <v>0</v>
      </c>
      <c r="W8" s="17">
        <f>25000+79530</f>
        <v>104530</v>
      </c>
    </row>
    <row r="9" spans="1:23" s="5" customFormat="1" ht="81.75" customHeight="1">
      <c r="A9" s="168"/>
      <c r="B9" s="168"/>
      <c r="C9" s="168"/>
      <c r="D9" s="146"/>
      <c r="E9" s="12" t="s">
        <v>234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8"/>
      <c r="B10" s="168"/>
      <c r="C10" s="168"/>
      <c r="D10" s="146"/>
      <c r="E10" s="12" t="s">
        <v>235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36" hidden="1">
      <c r="A11" s="168"/>
      <c r="B11" s="168"/>
      <c r="C11" s="168"/>
      <c r="D11" s="146"/>
      <c r="E11" s="12" t="s">
        <v>236</v>
      </c>
      <c r="F11" s="68"/>
      <c r="G11" s="68"/>
      <c r="H11" s="68"/>
      <c r="I11" s="13">
        <f>265300-265300</f>
        <v>0</v>
      </c>
      <c r="J11" s="117"/>
      <c r="K11" s="117"/>
      <c r="L11" s="117">
        <v>265300</v>
      </c>
      <c r="M11" s="117">
        <v>-265300</v>
      </c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8"/>
      <c r="B12" s="168"/>
      <c r="C12" s="168"/>
      <c r="D12" s="146"/>
      <c r="E12" s="12" t="s">
        <v>237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>
        <f>100382</f>
        <v>100382</v>
      </c>
    </row>
    <row r="13" spans="1:23" s="5" customFormat="1" ht="56.25">
      <c r="A13" s="168"/>
      <c r="B13" s="168"/>
      <c r="C13" s="168"/>
      <c r="D13" s="146"/>
      <c r="E13" s="12" t="s">
        <v>238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8"/>
      <c r="B14" s="168"/>
      <c r="C14" s="168"/>
      <c r="D14" s="146"/>
      <c r="E14" s="12" t="s">
        <v>209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8"/>
      <c r="B15" s="168"/>
      <c r="C15" s="168"/>
      <c r="D15" s="146"/>
      <c r="E15" s="12" t="s">
        <v>210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>
        <v>46900.01</v>
      </c>
    </row>
    <row r="16" spans="1:23" s="5" customFormat="1" ht="56.25">
      <c r="A16" s="168"/>
      <c r="B16" s="168"/>
      <c r="C16" s="168"/>
      <c r="D16" s="146"/>
      <c r="E16" s="12" t="s">
        <v>888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>
        <f>120165.24</f>
        <v>120165.24</v>
      </c>
    </row>
    <row r="17" spans="1:23" s="5" customFormat="1" ht="93.75">
      <c r="A17" s="168"/>
      <c r="B17" s="168"/>
      <c r="C17" s="168"/>
      <c r="D17" s="146"/>
      <c r="E17" s="12" t="s">
        <v>148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f>235800-126000</f>
        <v>109800</v>
      </c>
      <c r="O17" s="117">
        <v>-513023</v>
      </c>
      <c r="P17" s="117">
        <f>500000+126000</f>
        <v>626000</v>
      </c>
      <c r="Q17" s="117">
        <f>800000+449182</f>
        <v>1249182</v>
      </c>
      <c r="R17" s="117"/>
      <c r="S17" s="117">
        <v>63841</v>
      </c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8"/>
      <c r="B18" s="168"/>
      <c r="C18" s="168"/>
      <c r="D18" s="146"/>
      <c r="E18" s="12" t="s">
        <v>122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>
        <f>10520.75</f>
        <v>10520.75</v>
      </c>
    </row>
    <row r="19" spans="1:23" s="5" customFormat="1" ht="79.5" customHeight="1">
      <c r="A19" s="168"/>
      <c r="B19" s="168"/>
      <c r="C19" s="168"/>
      <c r="D19" s="146"/>
      <c r="E19" s="12" t="s">
        <v>123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>
        <f>13565.27</f>
        <v>13565.27</v>
      </c>
    </row>
    <row r="20" spans="1:23" s="5" customFormat="1" ht="93.75">
      <c r="A20" s="168"/>
      <c r="B20" s="168"/>
      <c r="C20" s="168"/>
      <c r="D20" s="146"/>
      <c r="E20" s="12" t="s">
        <v>156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f>16481.5+7063.5</f>
        <v>23545</v>
      </c>
    </row>
    <row r="21" spans="1:23" s="5" customFormat="1" ht="75">
      <c r="A21" s="168"/>
      <c r="B21" s="168"/>
      <c r="C21" s="168"/>
      <c r="D21" s="146"/>
      <c r="E21" s="12" t="s">
        <v>157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f>39568.9+16958.1</f>
        <v>56527</v>
      </c>
    </row>
    <row r="22" spans="1:23" s="5" customFormat="1" ht="93.75">
      <c r="A22" s="168"/>
      <c r="B22" s="168"/>
      <c r="C22" s="168"/>
      <c r="D22" s="146"/>
      <c r="E22" s="12" t="s">
        <v>949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>
        <v>126000</v>
      </c>
      <c r="O22" s="117"/>
      <c r="P22" s="117">
        <f>515000-126000</f>
        <v>389000</v>
      </c>
      <c r="Q22" s="117"/>
      <c r="R22" s="117"/>
      <c r="S22" s="117"/>
      <c r="T22" s="117"/>
      <c r="U22" s="117"/>
      <c r="V22" s="17">
        <f t="shared" si="3"/>
        <v>0</v>
      </c>
      <c r="W22" s="17">
        <v>126000</v>
      </c>
    </row>
    <row r="23" spans="1:23" s="5" customFormat="1" ht="81" customHeight="1">
      <c r="A23" s="168"/>
      <c r="B23" s="168"/>
      <c r="C23" s="168"/>
      <c r="D23" s="146"/>
      <c r="E23" s="12" t="s">
        <v>950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3" s="5" customFormat="1" ht="102.75" customHeight="1">
      <c r="A24" s="168"/>
      <c r="B24" s="169"/>
      <c r="C24" s="168"/>
      <c r="D24" s="135"/>
      <c r="E24" s="12" t="s">
        <v>951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</row>
    <row r="25" spans="1:23" s="5" customFormat="1" ht="18.75">
      <c r="A25" s="167" t="s">
        <v>996</v>
      </c>
      <c r="B25" s="167" t="s">
        <v>985</v>
      </c>
      <c r="C25" s="167" t="s">
        <v>952</v>
      </c>
      <c r="D25" s="145" t="s">
        <v>231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8"/>
      <c r="B26" s="168"/>
      <c r="C26" s="168"/>
      <c r="D26" s="146"/>
      <c r="E26" s="14" t="s">
        <v>889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8"/>
      <c r="B27" s="168"/>
      <c r="C27" s="168"/>
      <c r="D27" s="146"/>
      <c r="E27" s="15" t="s">
        <v>890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8"/>
      <c r="B28" s="168"/>
      <c r="C28" s="168"/>
      <c r="D28" s="146"/>
      <c r="E28" s="15" t="s">
        <v>891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7" t="s">
        <v>998</v>
      </c>
      <c r="B29" s="167" t="s">
        <v>999</v>
      </c>
      <c r="C29" s="167" t="s">
        <v>677</v>
      </c>
      <c r="D29" s="145" t="s">
        <v>1000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9"/>
      <c r="B30" s="169"/>
      <c r="C30" s="169"/>
      <c r="D30" s="135"/>
      <c r="E30" s="16" t="s">
        <v>934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7" t="s">
        <v>222</v>
      </c>
      <c r="B31" s="167" t="s">
        <v>197</v>
      </c>
      <c r="C31" s="157" t="s">
        <v>678</v>
      </c>
      <c r="D31" s="160" t="s">
        <v>429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513023</v>
      </c>
      <c r="P31" s="19">
        <f t="shared" si="8"/>
        <v>40000</v>
      </c>
      <c r="Q31" s="19">
        <f t="shared" si="8"/>
        <v>1318</v>
      </c>
      <c r="R31" s="19">
        <f t="shared" si="8"/>
        <v>522000</v>
      </c>
      <c r="S31" s="19">
        <f t="shared" si="8"/>
        <v>336159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937765.6</v>
      </c>
    </row>
    <row r="32" spans="1:23" s="109" customFormat="1" ht="83.25" customHeight="1">
      <c r="A32" s="158"/>
      <c r="B32" s="168"/>
      <c r="C32" s="158"/>
      <c r="D32" s="161"/>
      <c r="E32" s="18" t="s">
        <v>534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513023</v>
      </c>
      <c r="P32" s="19">
        <f t="shared" si="9"/>
        <v>40000</v>
      </c>
      <c r="Q32" s="19">
        <f t="shared" si="9"/>
        <v>1318</v>
      </c>
      <c r="R32" s="19">
        <f t="shared" si="9"/>
        <v>522000</v>
      </c>
      <c r="S32" s="19">
        <f t="shared" si="9"/>
        <v>336159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937765.6</v>
      </c>
    </row>
    <row r="33" spans="1:23" s="5" customFormat="1" ht="56.25">
      <c r="A33" s="158"/>
      <c r="B33" s="168"/>
      <c r="C33" s="158"/>
      <c r="D33" s="161"/>
      <c r="E33" s="16" t="s">
        <v>883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>
        <v>513023</v>
      </c>
      <c r="P33" s="17"/>
      <c r="Q33" s="17">
        <f>450500-449182</f>
        <v>1318</v>
      </c>
      <c r="R33" s="17">
        <v>500000</v>
      </c>
      <c r="S33" s="17">
        <f>400000-63841</f>
        <v>336159</v>
      </c>
      <c r="T33" s="17">
        <v>500000</v>
      </c>
      <c r="U33" s="17"/>
      <c r="V33" s="17">
        <f t="shared" si="3"/>
        <v>0</v>
      </c>
      <c r="W33" s="17">
        <f>146291+602521.2+188953.4</f>
        <v>937765.6</v>
      </c>
    </row>
    <row r="34" spans="1:23" s="5" customFormat="1" ht="57.75" customHeight="1">
      <c r="A34" s="159"/>
      <c r="B34" s="169"/>
      <c r="C34" s="159"/>
      <c r="D34" s="162"/>
      <c r="E34" s="16" t="s">
        <v>739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70" t="s">
        <v>24</v>
      </c>
      <c r="B35" s="170"/>
      <c r="C35" s="170"/>
      <c r="D35" s="171" t="s">
        <v>997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506176.88</v>
      </c>
    </row>
    <row r="36" spans="1:23" s="5" customFormat="1" ht="56.25">
      <c r="A36" s="172" t="s">
        <v>25</v>
      </c>
      <c r="B36" s="172"/>
      <c r="C36" s="172"/>
      <c r="D36" s="171" t="s">
        <v>997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506176.88</v>
      </c>
    </row>
    <row r="37" spans="1:23" s="5" customFormat="1" ht="18" customHeight="1">
      <c r="A37" s="167" t="s">
        <v>26</v>
      </c>
      <c r="B37" s="167" t="s">
        <v>677</v>
      </c>
      <c r="C37" s="167" t="s">
        <v>676</v>
      </c>
      <c r="D37" s="145" t="s">
        <v>868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506176.88</v>
      </c>
    </row>
    <row r="38" spans="1:23" s="5" customFormat="1" ht="56.25">
      <c r="A38" s="168"/>
      <c r="B38" s="168"/>
      <c r="C38" s="168"/>
      <c r="D38" s="146"/>
      <c r="E38" s="16" t="s">
        <v>740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>
        <f>13800</f>
        <v>13800</v>
      </c>
    </row>
    <row r="39" spans="1:23" s="5" customFormat="1" ht="37.5">
      <c r="A39" s="168"/>
      <c r="B39" s="168"/>
      <c r="C39" s="168"/>
      <c r="D39" s="146"/>
      <c r="E39" s="20" t="s">
        <v>741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>
        <v>277716.36</v>
      </c>
    </row>
    <row r="40" spans="1:23" s="5" customFormat="1" ht="81" customHeight="1">
      <c r="A40" s="169"/>
      <c r="B40" s="169"/>
      <c r="C40" s="169"/>
      <c r="D40" s="135"/>
      <c r="E40" s="20" t="s">
        <v>153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f>33350+183310.52-2000</f>
        <v>214660.52</v>
      </c>
    </row>
    <row r="41" spans="1:23" ht="56.25">
      <c r="A41" s="173">
        <v>1000000</v>
      </c>
      <c r="B41" s="126"/>
      <c r="C41" s="126"/>
      <c r="D41" s="165" t="s">
        <v>680</v>
      </c>
      <c r="E41" s="20"/>
      <c r="F41" s="21"/>
      <c r="G41" s="174"/>
      <c r="H41" s="77"/>
      <c r="I41" s="10">
        <f>I42</f>
        <v>178300387.12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7465747.6</v>
      </c>
      <c r="N41" s="10">
        <f t="shared" si="13"/>
        <v>13425420.3</v>
      </c>
      <c r="O41" s="10">
        <f t="shared" si="13"/>
        <v>8603951.8</v>
      </c>
      <c r="P41" s="10">
        <f t="shared" si="13"/>
        <v>20027210.22</v>
      </c>
      <c r="Q41" s="10">
        <f t="shared" si="13"/>
        <v>21948722.95</v>
      </c>
      <c r="R41" s="10">
        <f t="shared" si="13"/>
        <v>15763006.149999999</v>
      </c>
      <c r="S41" s="10">
        <f t="shared" si="13"/>
        <v>17462224.57</v>
      </c>
      <c r="T41" s="10">
        <f t="shared" si="13"/>
        <v>28169176.21</v>
      </c>
      <c r="U41" s="10">
        <f t="shared" si="13"/>
        <v>32830785.32</v>
      </c>
      <c r="V41" s="10">
        <f t="shared" si="13"/>
        <v>70000.00000000001</v>
      </c>
      <c r="W41" s="10">
        <f t="shared" si="13"/>
        <v>37714584.77</v>
      </c>
    </row>
    <row r="42" spans="1:23" ht="56.25">
      <c r="A42" s="173">
        <v>1010000</v>
      </c>
      <c r="B42" s="126"/>
      <c r="C42" s="126"/>
      <c r="D42" s="165" t="s">
        <v>680</v>
      </c>
      <c r="E42" s="20"/>
      <c r="F42" s="21"/>
      <c r="G42" s="174"/>
      <c r="H42" s="77"/>
      <c r="I42" s="10">
        <f aca="true" t="shared" si="14" ref="I42:W42">I43+I118+I195+I197+I214+I223+I226+I238+I246+I250+I310+I357+I367</f>
        <v>178300387.12</v>
      </c>
      <c r="J42" s="10">
        <f t="shared" si="14"/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7465747.6</v>
      </c>
      <c r="N42" s="10">
        <f t="shared" si="14"/>
        <v>13425420.3</v>
      </c>
      <c r="O42" s="10">
        <f t="shared" si="14"/>
        <v>8603951.8</v>
      </c>
      <c r="P42" s="10">
        <f t="shared" si="14"/>
        <v>20027210.22</v>
      </c>
      <c r="Q42" s="10">
        <f t="shared" si="14"/>
        <v>21948722.95</v>
      </c>
      <c r="R42" s="10">
        <f t="shared" si="14"/>
        <v>15763006.149999999</v>
      </c>
      <c r="S42" s="10">
        <f t="shared" si="14"/>
        <v>17462224.57</v>
      </c>
      <c r="T42" s="10">
        <f t="shared" si="14"/>
        <v>28169176.21</v>
      </c>
      <c r="U42" s="10">
        <f t="shared" si="14"/>
        <v>32830785.32</v>
      </c>
      <c r="V42" s="10">
        <f t="shared" si="14"/>
        <v>70000.00000000001</v>
      </c>
      <c r="W42" s="10">
        <f t="shared" si="14"/>
        <v>37714584.77</v>
      </c>
    </row>
    <row r="43" spans="1:23" ht="18.75">
      <c r="A43" s="132" t="s">
        <v>557</v>
      </c>
      <c r="B43" s="132" t="s">
        <v>561</v>
      </c>
      <c r="C43" s="132" t="s">
        <v>681</v>
      </c>
      <c r="D43" s="145" t="s">
        <v>223</v>
      </c>
      <c r="E43" s="20"/>
      <c r="F43" s="20"/>
      <c r="G43" s="20"/>
      <c r="H43" s="20"/>
      <c r="I43" s="10">
        <f>SUM(I44:I117)</f>
        <v>17356566.259999998</v>
      </c>
      <c r="J43" s="10">
        <f aca="true" t="shared" si="15" ref="J43:W43">SUM(J44:J117)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5254.739999999991</v>
      </c>
      <c r="N43" s="10">
        <f t="shared" si="15"/>
        <v>454672.26</v>
      </c>
      <c r="O43" s="10">
        <f t="shared" si="15"/>
        <v>1124377.8</v>
      </c>
      <c r="P43" s="10">
        <f t="shared" si="15"/>
        <v>1276828.46</v>
      </c>
      <c r="Q43" s="10">
        <f t="shared" si="15"/>
        <v>2085614.95</v>
      </c>
      <c r="R43" s="10">
        <f t="shared" si="15"/>
        <v>2617003.68</v>
      </c>
      <c r="S43" s="10">
        <f t="shared" si="15"/>
        <v>2748464.5700000003</v>
      </c>
      <c r="T43" s="10">
        <f t="shared" si="15"/>
        <v>2992789.05</v>
      </c>
      <c r="U43" s="10">
        <f t="shared" si="15"/>
        <v>2527760.75</v>
      </c>
      <c r="V43" s="10">
        <f t="shared" si="15"/>
        <v>9.094947017729282E-12</v>
      </c>
      <c r="W43" s="10">
        <f t="shared" si="15"/>
        <v>2934480.5</v>
      </c>
    </row>
    <row r="44" spans="1:23" ht="37.5">
      <c r="A44" s="134"/>
      <c r="B44" s="134"/>
      <c r="C44" s="134"/>
      <c r="D44" s="146"/>
      <c r="E44" s="20" t="s">
        <v>154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34"/>
      <c r="B45" s="134"/>
      <c r="C45" s="134"/>
      <c r="D45" s="146"/>
      <c r="E45" s="20" t="s">
        <v>843</v>
      </c>
      <c r="F45" s="20"/>
      <c r="G45" s="20"/>
      <c r="H45" s="20"/>
      <c r="I45" s="21">
        <f>1470000-20000-125000-200000</f>
        <v>1125000</v>
      </c>
      <c r="J45" s="17"/>
      <c r="K45" s="17"/>
      <c r="L45" s="17"/>
      <c r="M45" s="17"/>
      <c r="N45" s="21"/>
      <c r="O45" s="17"/>
      <c r="P45" s="17"/>
      <c r="Q45" s="17"/>
      <c r="R45" s="17">
        <f>1325000-200000</f>
        <v>1125000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34"/>
      <c r="B46" s="134"/>
      <c r="C46" s="134"/>
      <c r="D46" s="146"/>
      <c r="E46" s="20" t="s">
        <v>844</v>
      </c>
      <c r="F46" s="20"/>
      <c r="G46" s="20"/>
      <c r="H46" s="20"/>
      <c r="I46" s="21">
        <f>750000-32571</f>
        <v>717429</v>
      </c>
      <c r="J46" s="17"/>
      <c r="K46" s="17"/>
      <c r="L46" s="17"/>
      <c r="M46" s="17"/>
      <c r="N46" s="17"/>
      <c r="O46" s="17"/>
      <c r="P46" s="17"/>
      <c r="Q46" s="17"/>
      <c r="R46" s="21">
        <f>750000-32571</f>
        <v>717429</v>
      </c>
      <c r="S46" s="17"/>
      <c r="T46" s="17"/>
      <c r="U46" s="17"/>
      <c r="V46" s="17">
        <f t="shared" si="3"/>
        <v>0</v>
      </c>
      <c r="W46" s="17"/>
    </row>
    <row r="47" spans="1:23" ht="18" hidden="1">
      <c r="A47" s="134"/>
      <c r="B47" s="134"/>
      <c r="C47" s="134"/>
      <c r="D47" s="146"/>
      <c r="E47" s="20" t="s">
        <v>845</v>
      </c>
      <c r="F47" s="20"/>
      <c r="G47" s="20"/>
      <c r="H47" s="20"/>
      <c r="I47" s="21">
        <f>100000-100000</f>
        <v>0</v>
      </c>
      <c r="J47" s="17"/>
      <c r="K47" s="17"/>
      <c r="L47" s="17"/>
      <c r="M47" s="17"/>
      <c r="N47" s="17"/>
      <c r="O47" s="17"/>
      <c r="P47" s="17"/>
      <c r="Q47" s="17"/>
      <c r="R47" s="21">
        <f>100000-100000</f>
        <v>0</v>
      </c>
      <c r="S47" s="17"/>
      <c r="T47" s="17"/>
      <c r="U47" s="17"/>
      <c r="V47" s="17">
        <f t="shared" si="3"/>
        <v>0</v>
      </c>
      <c r="W47" s="17"/>
    </row>
    <row r="48" spans="1:23" ht="20.25" customHeight="1" hidden="1">
      <c r="A48" s="134"/>
      <c r="B48" s="134"/>
      <c r="C48" s="134"/>
      <c r="D48" s="146"/>
      <c r="E48" s="20" t="s">
        <v>847</v>
      </c>
      <c r="F48" s="20"/>
      <c r="G48" s="20"/>
      <c r="H48" s="20"/>
      <c r="I48" s="21">
        <f>100000-100000</f>
        <v>0</v>
      </c>
      <c r="J48" s="17"/>
      <c r="K48" s="17"/>
      <c r="L48" s="17"/>
      <c r="M48" s="17"/>
      <c r="N48" s="17"/>
      <c r="O48" s="17"/>
      <c r="P48" s="17"/>
      <c r="Q48" s="17"/>
      <c r="R48" s="21">
        <f>100000-100000</f>
        <v>0</v>
      </c>
      <c r="S48" s="17"/>
      <c r="T48" s="17"/>
      <c r="U48" s="17"/>
      <c r="V48" s="17">
        <f t="shared" si="3"/>
        <v>0</v>
      </c>
      <c r="W48" s="17"/>
    </row>
    <row r="49" spans="1:23" ht="37.5">
      <c r="A49" s="134"/>
      <c r="B49" s="134"/>
      <c r="C49" s="134"/>
      <c r="D49" s="146"/>
      <c r="E49" s="20" t="s">
        <v>848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34"/>
      <c r="B50" s="134"/>
      <c r="C50" s="134"/>
      <c r="D50" s="146"/>
      <c r="E50" s="20" t="s">
        <v>849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34"/>
      <c r="B51" s="134"/>
      <c r="C51" s="134"/>
      <c r="D51" s="146"/>
      <c r="E51" s="20" t="s">
        <v>1025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34"/>
      <c r="B52" s="134"/>
      <c r="C52" s="134"/>
      <c r="D52" s="146"/>
      <c r="E52" s="20" t="s">
        <v>850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34"/>
      <c r="B53" s="134"/>
      <c r="C53" s="134"/>
      <c r="D53" s="146"/>
      <c r="E53" s="20" t="s">
        <v>864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34"/>
      <c r="B54" s="134"/>
      <c r="C54" s="134"/>
      <c r="D54" s="146"/>
      <c r="E54" s="20" t="s">
        <v>62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34"/>
      <c r="B55" s="134"/>
      <c r="C55" s="134"/>
      <c r="D55" s="146"/>
      <c r="E55" s="20" t="s">
        <v>63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34"/>
      <c r="B56" s="134"/>
      <c r="C56" s="134"/>
      <c r="D56" s="146"/>
      <c r="E56" s="20" t="s">
        <v>1026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34"/>
      <c r="B57" s="134"/>
      <c r="C57" s="134"/>
      <c r="D57" s="146"/>
      <c r="E57" s="20" t="s">
        <v>724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34"/>
      <c r="B58" s="134"/>
      <c r="C58" s="134"/>
      <c r="D58" s="146"/>
      <c r="E58" s="20" t="s">
        <v>21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34"/>
      <c r="B59" s="134"/>
      <c r="C59" s="134"/>
      <c r="D59" s="146"/>
      <c r="E59" s="20" t="s">
        <v>22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93.75">
      <c r="A60" s="134"/>
      <c r="B60" s="134"/>
      <c r="C60" s="134"/>
      <c r="D60" s="146"/>
      <c r="E60" s="20" t="s">
        <v>909</v>
      </c>
      <c r="F60" s="20"/>
      <c r="G60" s="20"/>
      <c r="H60" s="20"/>
      <c r="I60" s="21">
        <f>44731+14106.26</f>
        <v>58837.26</v>
      </c>
      <c r="J60" s="17"/>
      <c r="K60" s="17"/>
      <c r="L60" s="17"/>
      <c r="M60" s="17">
        <v>9854.74</v>
      </c>
      <c r="N60" s="17">
        <f>4360+30516.26</f>
        <v>34876.259999999995</v>
      </c>
      <c r="O60" s="17">
        <f>4360-4360+14106.26</f>
        <v>14106.26</v>
      </c>
      <c r="P60" s="17">
        <f>4360-4360</f>
        <v>0</v>
      </c>
      <c r="Q60" s="17">
        <f>4360-4360</f>
        <v>0</v>
      </c>
      <c r="R60" s="17">
        <f>4360-4360</f>
        <v>0</v>
      </c>
      <c r="S60" s="17">
        <f>4360-4360</f>
        <v>0</v>
      </c>
      <c r="T60" s="17">
        <f>4360-4360</f>
        <v>0</v>
      </c>
      <c r="U60" s="17">
        <f>4356.26-4356.26</f>
        <v>0</v>
      </c>
      <c r="V60" s="17">
        <f>I60-J60-K60-L60-M60-N60-O60-P60-Q60-R60-S60-T60-U60</f>
        <v>9.094947017729282E-12</v>
      </c>
      <c r="W60" s="17">
        <v>58837.26</v>
      </c>
    </row>
    <row r="61" spans="1:23" ht="22.5" customHeight="1">
      <c r="A61" s="134"/>
      <c r="B61" s="134"/>
      <c r="C61" s="134"/>
      <c r="D61" s="146"/>
      <c r="E61" s="20" t="s">
        <v>799</v>
      </c>
      <c r="F61" s="68">
        <f>I61</f>
        <v>700000</v>
      </c>
      <c r="G61" s="76">
        <v>1</v>
      </c>
      <c r="H61" s="68">
        <f aca="true" t="shared" si="16" ref="H61:H117">I61</f>
        <v>700000</v>
      </c>
      <c r="I61" s="21">
        <f>500000+200000</f>
        <v>700000</v>
      </c>
      <c r="J61" s="17"/>
      <c r="K61" s="17"/>
      <c r="L61" s="17">
        <v>35000</v>
      </c>
      <c r="M61" s="17">
        <v>-35000</v>
      </c>
      <c r="N61" s="17">
        <f>35000+350000</f>
        <v>385000</v>
      </c>
      <c r="O61" s="17">
        <v>-42000</v>
      </c>
      <c r="P61" s="17"/>
      <c r="Q61" s="17">
        <f>300000-300000</f>
        <v>0</v>
      </c>
      <c r="R61" s="17">
        <f>50000+200000-50000</f>
        <v>200000</v>
      </c>
      <c r="S61" s="17"/>
      <c r="T61" s="17">
        <v>42000</v>
      </c>
      <c r="U61" s="17">
        <v>115000</v>
      </c>
      <c r="V61" s="17">
        <f t="shared" si="3"/>
        <v>0</v>
      </c>
      <c r="W61" s="17">
        <f>13026+329010.5</f>
        <v>342036.5</v>
      </c>
    </row>
    <row r="62" spans="1:23" ht="37.5">
      <c r="A62" s="134"/>
      <c r="B62" s="134"/>
      <c r="C62" s="134"/>
      <c r="D62" s="146"/>
      <c r="E62" s="20" t="s">
        <v>800</v>
      </c>
      <c r="F62" s="68">
        <f aca="true" t="shared" si="17" ref="F62:F117">I62</f>
        <v>300000</v>
      </c>
      <c r="G62" s="76">
        <v>1</v>
      </c>
      <c r="H62" s="68">
        <f t="shared" si="16"/>
        <v>300000</v>
      </c>
      <c r="I62" s="21">
        <v>300000</v>
      </c>
      <c r="J62" s="17"/>
      <c r="K62" s="17"/>
      <c r="L62" s="17">
        <v>15000</v>
      </c>
      <c r="M62" s="17">
        <v>-1400</v>
      </c>
      <c r="N62" s="17">
        <f>1400+3000</f>
        <v>4400</v>
      </c>
      <c r="O62" s="17">
        <f>225000-36000</f>
        <v>189000</v>
      </c>
      <c r="P62" s="17">
        <f>29000-3000-26000</f>
        <v>0</v>
      </c>
      <c r="Q62" s="17">
        <f>33610.95-33000</f>
        <v>610.9499999999971</v>
      </c>
      <c r="R62" s="17"/>
      <c r="S62" s="17">
        <f>41000-41000+3000</f>
        <v>3000</v>
      </c>
      <c r="T62" s="17">
        <f>66389.05-66000+33000</f>
        <v>33389.05</v>
      </c>
      <c r="U62" s="17">
        <f>115000-59000</f>
        <v>56000</v>
      </c>
      <c r="V62" s="17">
        <f t="shared" si="3"/>
        <v>0</v>
      </c>
      <c r="W62" s="17">
        <f>206086.28</f>
        <v>206086.28</v>
      </c>
    </row>
    <row r="63" spans="1:23" ht="36" customHeight="1" hidden="1">
      <c r="A63" s="134"/>
      <c r="B63" s="134"/>
      <c r="C63" s="134"/>
      <c r="D63" s="146"/>
      <c r="E63" s="20" t="s">
        <v>738</v>
      </c>
      <c r="F63" s="68">
        <f t="shared" si="17"/>
        <v>0</v>
      </c>
      <c r="G63" s="76">
        <v>1</v>
      </c>
      <c r="H63" s="68">
        <f t="shared" si="16"/>
        <v>0</v>
      </c>
      <c r="I63" s="21">
        <f>46400-46400</f>
        <v>0</v>
      </c>
      <c r="J63" s="17"/>
      <c r="K63" s="17"/>
      <c r="L63" s="17">
        <f>20000-20000</f>
        <v>0</v>
      </c>
      <c r="M63" s="17">
        <f>23282.93-23282.93</f>
        <v>0</v>
      </c>
      <c r="N63" s="17">
        <f>3117.07+20000-23117.07</f>
        <v>0</v>
      </c>
      <c r="O63" s="17"/>
      <c r="P63" s="17"/>
      <c r="Q63" s="17"/>
      <c r="R63" s="17"/>
      <c r="S63" s="17"/>
      <c r="T63" s="17"/>
      <c r="U63" s="17"/>
      <c r="V63" s="17">
        <f t="shared" si="3"/>
        <v>0</v>
      </c>
      <c r="W63" s="17"/>
    </row>
    <row r="64" spans="1:23" ht="37.5">
      <c r="A64" s="134"/>
      <c r="B64" s="134"/>
      <c r="C64" s="134"/>
      <c r="D64" s="146"/>
      <c r="E64" s="20" t="s">
        <v>691</v>
      </c>
      <c r="F64" s="68">
        <f t="shared" si="17"/>
        <v>700000</v>
      </c>
      <c r="G64" s="76">
        <v>1</v>
      </c>
      <c r="H64" s="68">
        <f t="shared" si="16"/>
        <v>700000</v>
      </c>
      <c r="I64" s="21">
        <v>700000</v>
      </c>
      <c r="J64" s="17"/>
      <c r="K64" s="17"/>
      <c r="L64" s="17">
        <f>30000-30000</f>
        <v>0</v>
      </c>
      <c r="M64" s="17"/>
      <c r="N64" s="17">
        <v>30000</v>
      </c>
      <c r="O64" s="17">
        <f>385000-74000</f>
        <v>311000</v>
      </c>
      <c r="P64" s="17">
        <f>70000-70000</f>
        <v>0</v>
      </c>
      <c r="Q64" s="17">
        <f>250000-250000</f>
        <v>0</v>
      </c>
      <c r="R64" s="17"/>
      <c r="S64" s="17">
        <f>150000-65000+74000</f>
        <v>159000</v>
      </c>
      <c r="T64" s="17">
        <v>50000</v>
      </c>
      <c r="U64" s="17">
        <v>150000</v>
      </c>
      <c r="V64" s="17">
        <f t="shared" si="3"/>
        <v>0</v>
      </c>
      <c r="W64" s="17">
        <f>340217</f>
        <v>340217</v>
      </c>
    </row>
    <row r="65" spans="1:23" ht="37.5">
      <c r="A65" s="134"/>
      <c r="B65" s="134"/>
      <c r="C65" s="134"/>
      <c r="D65" s="146"/>
      <c r="E65" s="20" t="s">
        <v>692</v>
      </c>
      <c r="F65" s="68">
        <f t="shared" si="17"/>
        <v>300000</v>
      </c>
      <c r="G65" s="76">
        <v>1</v>
      </c>
      <c r="H65" s="68">
        <f t="shared" si="16"/>
        <v>300000</v>
      </c>
      <c r="I65" s="21">
        <v>300000</v>
      </c>
      <c r="J65" s="17"/>
      <c r="K65" s="17"/>
      <c r="L65" s="17">
        <f>20000-20000</f>
        <v>0</v>
      </c>
      <c r="M65" s="17"/>
      <c r="N65" s="17">
        <f>50000+20000-70000</f>
        <v>0</v>
      </c>
      <c r="O65" s="17">
        <f>225000-18000</f>
        <v>207000</v>
      </c>
      <c r="P65" s="17">
        <f>50000-50000</f>
        <v>0</v>
      </c>
      <c r="Q65" s="17">
        <f>21000-21000</f>
        <v>0</v>
      </c>
      <c r="R65" s="17"/>
      <c r="S65" s="17">
        <v>18000</v>
      </c>
      <c r="T65" s="17">
        <f>180000+30000-154000</f>
        <v>56000</v>
      </c>
      <c r="U65" s="17">
        <v>19000</v>
      </c>
      <c r="V65" s="17">
        <f t="shared" si="3"/>
        <v>0</v>
      </c>
      <c r="W65" s="17">
        <f>203584.92+2666</f>
        <v>206250.92</v>
      </c>
    </row>
    <row r="66" spans="1:23" ht="36" hidden="1">
      <c r="A66" s="134"/>
      <c r="B66" s="134"/>
      <c r="C66" s="134"/>
      <c r="D66" s="146"/>
      <c r="E66" s="20" t="s">
        <v>693</v>
      </c>
      <c r="F66" s="68">
        <f t="shared" si="17"/>
        <v>0</v>
      </c>
      <c r="G66" s="76">
        <v>1</v>
      </c>
      <c r="H66" s="68">
        <f t="shared" si="16"/>
        <v>0</v>
      </c>
      <c r="I66" s="21">
        <f>800000-800000</f>
        <v>0</v>
      </c>
      <c r="J66" s="17"/>
      <c r="K66" s="17"/>
      <c r="L66" s="17">
        <f>45000-45000</f>
        <v>0</v>
      </c>
      <c r="M66" s="17"/>
      <c r="N66" s="17">
        <f>50000+45000-95000</f>
        <v>0</v>
      </c>
      <c r="O66" s="17"/>
      <c r="P66" s="17">
        <f>150000-150000</f>
        <v>0</v>
      </c>
      <c r="Q66" s="17"/>
      <c r="R66" s="17"/>
      <c r="S66" s="17">
        <f>255000-255000</f>
        <v>0</v>
      </c>
      <c r="T66" s="17">
        <f>300000-300000</f>
        <v>0</v>
      </c>
      <c r="U66" s="17"/>
      <c r="V66" s="17">
        <f t="shared" si="3"/>
        <v>0</v>
      </c>
      <c r="W66" s="17"/>
    </row>
    <row r="67" spans="1:23" ht="75">
      <c r="A67" s="134"/>
      <c r="B67" s="134"/>
      <c r="C67" s="134"/>
      <c r="D67" s="146"/>
      <c r="E67" s="20" t="s">
        <v>694</v>
      </c>
      <c r="F67" s="68">
        <f t="shared" si="17"/>
        <v>15000</v>
      </c>
      <c r="G67" s="76">
        <v>1</v>
      </c>
      <c r="H67" s="68">
        <f t="shared" si="16"/>
        <v>15000</v>
      </c>
      <c r="I67" s="21">
        <f>38000-23000</f>
        <v>15000</v>
      </c>
      <c r="J67" s="17"/>
      <c r="K67" s="17"/>
      <c r="L67" s="17">
        <f>38000-38000</f>
        <v>0</v>
      </c>
      <c r="M67" s="17"/>
      <c r="N67" s="17">
        <f>38000-23000</f>
        <v>15000</v>
      </c>
      <c r="O67" s="17"/>
      <c r="P67" s="17"/>
      <c r="Q67" s="17"/>
      <c r="R67" s="17"/>
      <c r="S67" s="17"/>
      <c r="T67" s="17"/>
      <c r="U67" s="17"/>
      <c r="V67" s="17">
        <f t="shared" si="3"/>
        <v>0</v>
      </c>
      <c r="W67" s="17">
        <v>14640.91</v>
      </c>
    </row>
    <row r="68" spans="1:23" ht="37.5">
      <c r="A68" s="134"/>
      <c r="B68" s="134"/>
      <c r="C68" s="134"/>
      <c r="D68" s="146"/>
      <c r="E68" s="20" t="s">
        <v>23</v>
      </c>
      <c r="F68" s="68">
        <f t="shared" si="17"/>
        <v>285000</v>
      </c>
      <c r="G68" s="76">
        <v>1</v>
      </c>
      <c r="H68" s="68">
        <f t="shared" si="16"/>
        <v>285000</v>
      </c>
      <c r="I68" s="21">
        <f>350000-65000</f>
        <v>285000</v>
      </c>
      <c r="J68" s="17"/>
      <c r="K68" s="17"/>
      <c r="L68" s="17">
        <f>25000-25000</f>
        <v>0</v>
      </c>
      <c r="M68" s="17"/>
      <c r="N68" s="17">
        <f>25000+260000-285000</f>
        <v>0</v>
      </c>
      <c r="O68" s="17"/>
      <c r="P68" s="17">
        <f>75000-65000-10000</f>
        <v>0</v>
      </c>
      <c r="Q68" s="17">
        <f>50000-50000</f>
        <v>0</v>
      </c>
      <c r="R68" s="17"/>
      <c r="S68" s="17">
        <f>100000-100000</f>
        <v>0</v>
      </c>
      <c r="T68" s="17">
        <f>100000-100000+285000</f>
        <v>285000</v>
      </c>
      <c r="U68" s="17"/>
      <c r="V68" s="17">
        <f t="shared" si="3"/>
        <v>0</v>
      </c>
      <c r="W68" s="17"/>
    </row>
    <row r="69" spans="1:23" ht="56.25">
      <c r="A69" s="134"/>
      <c r="B69" s="134"/>
      <c r="C69" s="134"/>
      <c r="D69" s="146"/>
      <c r="E69" s="20" t="s">
        <v>892</v>
      </c>
      <c r="F69" s="68">
        <f t="shared" si="17"/>
        <v>100000</v>
      </c>
      <c r="G69" s="76">
        <v>1</v>
      </c>
      <c r="H69" s="68">
        <f t="shared" si="16"/>
        <v>100000</v>
      </c>
      <c r="I69" s="21">
        <v>100000</v>
      </c>
      <c r="J69" s="17"/>
      <c r="K69" s="17"/>
      <c r="L69" s="17">
        <f>10000-10000</f>
        <v>0</v>
      </c>
      <c r="M69" s="17"/>
      <c r="N69" s="17">
        <f>10000-5000</f>
        <v>5000</v>
      </c>
      <c r="O69" s="17"/>
      <c r="P69" s="17">
        <v>50000</v>
      </c>
      <c r="Q69" s="17"/>
      <c r="R69" s="17"/>
      <c r="S69" s="17"/>
      <c r="T69" s="17">
        <f>40000+5000</f>
        <v>45000</v>
      </c>
      <c r="U69" s="17"/>
      <c r="V69" s="17">
        <f t="shared" si="3"/>
        <v>0</v>
      </c>
      <c r="W69" s="17"/>
    </row>
    <row r="70" spans="1:23" ht="37.5">
      <c r="A70" s="134"/>
      <c r="B70" s="134"/>
      <c r="C70" s="134"/>
      <c r="D70" s="146"/>
      <c r="E70" s="20" t="s">
        <v>893</v>
      </c>
      <c r="F70" s="68">
        <f t="shared" si="17"/>
        <v>179400</v>
      </c>
      <c r="G70" s="76">
        <v>1</v>
      </c>
      <c r="H70" s="68">
        <f t="shared" si="16"/>
        <v>179400</v>
      </c>
      <c r="I70" s="21">
        <v>179400</v>
      </c>
      <c r="J70" s="17"/>
      <c r="K70" s="17"/>
      <c r="L70" s="17">
        <f>25000-25000</f>
        <v>0</v>
      </c>
      <c r="M70" s="17"/>
      <c r="N70" s="17">
        <f>25000-25000</f>
        <v>0</v>
      </c>
      <c r="O70" s="17"/>
      <c r="P70" s="17"/>
      <c r="Q70" s="17">
        <v>100000</v>
      </c>
      <c r="R70" s="17"/>
      <c r="S70" s="17"/>
      <c r="T70" s="17">
        <f>54400+25000</f>
        <v>79400</v>
      </c>
      <c r="U70" s="17"/>
      <c r="V70" s="17">
        <f t="shared" si="3"/>
        <v>0</v>
      </c>
      <c r="W70" s="17"/>
    </row>
    <row r="71" spans="1:23" ht="37.5">
      <c r="A71" s="134"/>
      <c r="B71" s="134"/>
      <c r="C71" s="134"/>
      <c r="D71" s="146"/>
      <c r="E71" s="20" t="s">
        <v>894</v>
      </c>
      <c r="F71" s="68">
        <f t="shared" si="17"/>
        <v>59500</v>
      </c>
      <c r="G71" s="76">
        <v>1</v>
      </c>
      <c r="H71" s="68">
        <f t="shared" si="16"/>
        <v>59500</v>
      </c>
      <c r="I71" s="21">
        <v>59500</v>
      </c>
      <c r="J71" s="17"/>
      <c r="K71" s="17"/>
      <c r="L71" s="17">
        <f>30000-30000</f>
        <v>0</v>
      </c>
      <c r="M71" s="17"/>
      <c r="N71" s="17">
        <f>29500+30000-59000</f>
        <v>500</v>
      </c>
      <c r="O71" s="17"/>
      <c r="P71" s="17"/>
      <c r="Q71" s="17"/>
      <c r="R71" s="17"/>
      <c r="S71" s="17"/>
      <c r="T71" s="17">
        <v>59000</v>
      </c>
      <c r="U71" s="17"/>
      <c r="V71" s="17">
        <f aca="true" t="shared" si="18" ref="V71:V139">I71-J71-K71-L71-M71-N71-O71-P71-Q71-R71-S71-T71-U71</f>
        <v>0</v>
      </c>
      <c r="W71" s="17"/>
    </row>
    <row r="72" spans="1:23" ht="54" hidden="1">
      <c r="A72" s="134"/>
      <c r="B72" s="134"/>
      <c r="C72" s="134"/>
      <c r="D72" s="146"/>
      <c r="E72" s="20" t="s">
        <v>895</v>
      </c>
      <c r="F72" s="68">
        <f t="shared" si="17"/>
        <v>0</v>
      </c>
      <c r="G72" s="76">
        <v>1</v>
      </c>
      <c r="H72" s="68">
        <f t="shared" si="16"/>
        <v>0</v>
      </c>
      <c r="I72" s="21">
        <f>500000-500000</f>
        <v>0</v>
      </c>
      <c r="J72" s="17"/>
      <c r="K72" s="17"/>
      <c r="L72" s="17">
        <f>20000-20000</f>
        <v>0</v>
      </c>
      <c r="M72" s="17"/>
      <c r="N72" s="17">
        <v>20000</v>
      </c>
      <c r="O72" s="17">
        <v>-20000</v>
      </c>
      <c r="P72" s="17">
        <f>150000-150000</f>
        <v>0</v>
      </c>
      <c r="Q72" s="17">
        <f>130000-130000</f>
        <v>0</v>
      </c>
      <c r="R72" s="17"/>
      <c r="S72" s="17">
        <f>13164.57-13164.57</f>
        <v>0</v>
      </c>
      <c r="T72" s="17">
        <f>100000-100000</f>
        <v>0</v>
      </c>
      <c r="U72" s="17">
        <f>86835.43-86835.43</f>
        <v>0</v>
      </c>
      <c r="V72" s="17">
        <f>I72-J72-K72-L72-M72-N72-O72-P72-Q72-R72-S72-T72-U72</f>
        <v>0</v>
      </c>
      <c r="W72" s="17"/>
    </row>
    <row r="73" spans="1:23" ht="75">
      <c r="A73" s="134"/>
      <c r="B73" s="134"/>
      <c r="C73" s="134"/>
      <c r="D73" s="146"/>
      <c r="E73" s="20" t="s">
        <v>317</v>
      </c>
      <c r="F73" s="68"/>
      <c r="G73" s="76"/>
      <c r="H73" s="68"/>
      <c r="I73" s="21">
        <v>500000</v>
      </c>
      <c r="J73" s="17"/>
      <c r="K73" s="17"/>
      <c r="L73" s="17"/>
      <c r="M73" s="17"/>
      <c r="N73" s="17"/>
      <c r="O73" s="17">
        <v>20000</v>
      </c>
      <c r="P73" s="17">
        <v>150000</v>
      </c>
      <c r="Q73" s="17">
        <v>130000</v>
      </c>
      <c r="R73" s="17"/>
      <c r="S73" s="17">
        <v>13164.57</v>
      </c>
      <c r="T73" s="17">
        <v>100000</v>
      </c>
      <c r="U73" s="17">
        <v>86835.43</v>
      </c>
      <c r="V73" s="17">
        <f>I73-J73-K73-L73-M73-N73-O73-P73-Q73-R73-S73-T73-U73</f>
        <v>0</v>
      </c>
      <c r="W73" s="17"/>
    </row>
    <row r="74" spans="1:23" ht="37.5">
      <c r="A74" s="134"/>
      <c r="B74" s="134"/>
      <c r="C74" s="134"/>
      <c r="D74" s="146"/>
      <c r="E74" s="20" t="s">
        <v>896</v>
      </c>
      <c r="F74" s="68">
        <f t="shared" si="17"/>
        <v>1155000</v>
      </c>
      <c r="G74" s="76">
        <v>1</v>
      </c>
      <c r="H74" s="68">
        <f t="shared" si="16"/>
        <v>1155000</v>
      </c>
      <c r="I74" s="21">
        <f>1350000-195000</f>
        <v>1155000</v>
      </c>
      <c r="J74" s="17"/>
      <c r="K74" s="17"/>
      <c r="L74" s="17">
        <f>45000-45000</f>
        <v>0</v>
      </c>
      <c r="M74" s="17"/>
      <c r="N74" s="17">
        <f>45000-45000</f>
        <v>0</v>
      </c>
      <c r="O74" s="17">
        <f>82271.54-80000</f>
        <v>2271.5399999999936</v>
      </c>
      <c r="P74" s="17">
        <v>17728.46</v>
      </c>
      <c r="Q74" s="17">
        <f>355000-70000</f>
        <v>285000</v>
      </c>
      <c r="R74" s="17"/>
      <c r="S74" s="17">
        <v>250000</v>
      </c>
      <c r="T74" s="17">
        <v>200000</v>
      </c>
      <c r="U74" s="17">
        <v>400000</v>
      </c>
      <c r="V74" s="17">
        <f t="shared" si="18"/>
        <v>0</v>
      </c>
      <c r="W74" s="17"/>
    </row>
    <row r="75" spans="1:23" ht="56.25">
      <c r="A75" s="134"/>
      <c r="B75" s="134"/>
      <c r="C75" s="134"/>
      <c r="D75" s="146"/>
      <c r="E75" s="20" t="s">
        <v>897</v>
      </c>
      <c r="F75" s="68">
        <f t="shared" si="17"/>
        <v>450000</v>
      </c>
      <c r="G75" s="76">
        <v>1</v>
      </c>
      <c r="H75" s="68">
        <f t="shared" si="16"/>
        <v>450000</v>
      </c>
      <c r="I75" s="21">
        <v>450000</v>
      </c>
      <c r="J75" s="17"/>
      <c r="K75" s="17"/>
      <c r="L75" s="17">
        <f>10000-10000</f>
        <v>0</v>
      </c>
      <c r="M75" s="17"/>
      <c r="N75" s="17">
        <f>10000-10000</f>
        <v>0</v>
      </c>
      <c r="O75" s="17">
        <v>225000</v>
      </c>
      <c r="P75" s="17"/>
      <c r="Q75" s="17">
        <v>190000</v>
      </c>
      <c r="R75" s="17"/>
      <c r="S75" s="17">
        <f>150000-150000</f>
        <v>0</v>
      </c>
      <c r="T75" s="17">
        <f>100000+10000-75000</f>
        <v>35000</v>
      </c>
      <c r="U75" s="17"/>
      <c r="V75" s="17">
        <f t="shared" si="18"/>
        <v>0</v>
      </c>
      <c r="W75" s="17">
        <f>222414</f>
        <v>222414</v>
      </c>
    </row>
    <row r="76" spans="1:23" ht="40.5" customHeight="1">
      <c r="A76" s="134"/>
      <c r="B76" s="134"/>
      <c r="C76" s="134"/>
      <c r="D76" s="146"/>
      <c r="E76" s="20" t="s">
        <v>898</v>
      </c>
      <c r="F76" s="68">
        <f t="shared" si="17"/>
        <v>14800</v>
      </c>
      <c r="G76" s="76">
        <v>1</v>
      </c>
      <c r="H76" s="68">
        <f t="shared" si="16"/>
        <v>14800</v>
      </c>
      <c r="I76" s="21">
        <v>14800</v>
      </c>
      <c r="J76" s="17"/>
      <c r="K76" s="17"/>
      <c r="L76" s="17">
        <f>14800-14800</f>
        <v>0</v>
      </c>
      <c r="M76" s="17"/>
      <c r="N76" s="17">
        <f>14800-14000</f>
        <v>800</v>
      </c>
      <c r="O76" s="17"/>
      <c r="P76" s="17"/>
      <c r="Q76" s="17"/>
      <c r="R76" s="17"/>
      <c r="S76" s="17"/>
      <c r="T76" s="17">
        <v>14000</v>
      </c>
      <c r="U76" s="17"/>
      <c r="V76" s="17">
        <f t="shared" si="18"/>
        <v>0</v>
      </c>
      <c r="W76" s="17"/>
    </row>
    <row r="77" spans="1:23" ht="37.5">
      <c r="A77" s="134"/>
      <c r="B77" s="134"/>
      <c r="C77" s="134"/>
      <c r="D77" s="146"/>
      <c r="E77" s="20" t="s">
        <v>899</v>
      </c>
      <c r="F77" s="68">
        <f t="shared" si="17"/>
        <v>35900</v>
      </c>
      <c r="G77" s="76">
        <v>1</v>
      </c>
      <c r="H77" s="68">
        <f t="shared" si="16"/>
        <v>35900</v>
      </c>
      <c r="I77" s="21">
        <v>35900</v>
      </c>
      <c r="J77" s="17"/>
      <c r="K77" s="17"/>
      <c r="L77" s="17">
        <f>35900-35900</f>
        <v>0</v>
      </c>
      <c r="M77" s="17">
        <v>35900</v>
      </c>
      <c r="N77" s="17">
        <f>35900-35900</f>
        <v>0</v>
      </c>
      <c r="O77" s="17"/>
      <c r="P77" s="17"/>
      <c r="Q77" s="17"/>
      <c r="R77" s="17"/>
      <c r="S77" s="17"/>
      <c r="T77" s="17"/>
      <c r="U77" s="17"/>
      <c r="V77" s="17">
        <f t="shared" si="18"/>
        <v>0</v>
      </c>
      <c r="W77" s="17">
        <v>34375.2</v>
      </c>
    </row>
    <row r="78" spans="1:23" ht="42" customHeight="1">
      <c r="A78" s="134"/>
      <c r="B78" s="134"/>
      <c r="C78" s="134"/>
      <c r="D78" s="146"/>
      <c r="E78" s="20" t="s">
        <v>900</v>
      </c>
      <c r="F78" s="68">
        <f t="shared" si="17"/>
        <v>400000</v>
      </c>
      <c r="G78" s="76">
        <v>1</v>
      </c>
      <c r="H78" s="68">
        <f t="shared" si="16"/>
        <v>400000</v>
      </c>
      <c r="I78" s="21">
        <v>400000</v>
      </c>
      <c r="J78" s="17"/>
      <c r="K78" s="17"/>
      <c r="L78" s="17">
        <f>15000-15000</f>
        <v>0</v>
      </c>
      <c r="M78" s="17"/>
      <c r="N78" s="17">
        <v>15000</v>
      </c>
      <c r="O78" s="17">
        <v>200000</v>
      </c>
      <c r="P78" s="17"/>
      <c r="Q78" s="17">
        <f>135000-25000</f>
        <v>110000</v>
      </c>
      <c r="R78" s="17"/>
      <c r="S78" s="17">
        <f>150000-100000</f>
        <v>50000</v>
      </c>
      <c r="T78" s="17">
        <f>100000-75000</f>
        <v>25000</v>
      </c>
      <c r="U78" s="17"/>
      <c r="V78" s="17">
        <f t="shared" si="18"/>
        <v>0</v>
      </c>
      <c r="W78" s="17">
        <f>196700.62+2311.2</f>
        <v>199011.82</v>
      </c>
    </row>
    <row r="79" spans="1:23" ht="56.25">
      <c r="A79" s="134"/>
      <c r="B79" s="134"/>
      <c r="C79" s="134"/>
      <c r="D79" s="146"/>
      <c r="E79" s="20" t="s">
        <v>901</v>
      </c>
      <c r="F79" s="68">
        <f t="shared" si="17"/>
        <v>400000</v>
      </c>
      <c r="G79" s="76">
        <v>1</v>
      </c>
      <c r="H79" s="68">
        <f t="shared" si="16"/>
        <v>400000</v>
      </c>
      <c r="I79" s="21">
        <v>400000</v>
      </c>
      <c r="J79" s="17"/>
      <c r="K79" s="17"/>
      <c r="L79" s="17">
        <f>15000-15000</f>
        <v>0</v>
      </c>
      <c r="M79" s="17"/>
      <c r="N79" s="17">
        <f>15000+300000</f>
        <v>315000</v>
      </c>
      <c r="O79" s="17">
        <v>-119000</v>
      </c>
      <c r="P79" s="17"/>
      <c r="Q79" s="17">
        <f>135000-135000</f>
        <v>0</v>
      </c>
      <c r="R79" s="17"/>
      <c r="S79" s="17">
        <f>150000-140000+119000</f>
        <v>129000</v>
      </c>
      <c r="T79" s="17">
        <f>100000-25000</f>
        <v>75000</v>
      </c>
      <c r="U79" s="17"/>
      <c r="V79" s="17">
        <f t="shared" si="18"/>
        <v>0</v>
      </c>
      <c r="W79" s="17">
        <f>195852.5</f>
        <v>195852.5</v>
      </c>
    </row>
    <row r="80" spans="1:23" ht="37.5">
      <c r="A80" s="134"/>
      <c r="B80" s="134"/>
      <c r="C80" s="134"/>
      <c r="D80" s="146"/>
      <c r="E80" s="20" t="s">
        <v>902</v>
      </c>
      <c r="F80" s="68">
        <f t="shared" si="17"/>
        <v>20600</v>
      </c>
      <c r="G80" s="76">
        <v>1</v>
      </c>
      <c r="H80" s="68">
        <f t="shared" si="16"/>
        <v>20600</v>
      </c>
      <c r="I80" s="21">
        <v>20600</v>
      </c>
      <c r="J80" s="17"/>
      <c r="K80" s="17"/>
      <c r="L80" s="17">
        <f>20600-20600</f>
        <v>0</v>
      </c>
      <c r="M80" s="17"/>
      <c r="N80" s="17">
        <f>20600-20000</f>
        <v>600</v>
      </c>
      <c r="O80" s="17"/>
      <c r="P80" s="17"/>
      <c r="Q80" s="17"/>
      <c r="R80" s="17"/>
      <c r="S80" s="17"/>
      <c r="T80" s="17">
        <v>20000</v>
      </c>
      <c r="U80" s="17"/>
      <c r="V80" s="17">
        <f t="shared" si="18"/>
        <v>0</v>
      </c>
      <c r="W80" s="17"/>
    </row>
    <row r="81" spans="1:23" ht="37.5">
      <c r="A81" s="134"/>
      <c r="B81" s="134"/>
      <c r="C81" s="134"/>
      <c r="D81" s="146"/>
      <c r="E81" s="20" t="s">
        <v>318</v>
      </c>
      <c r="F81" s="68">
        <f t="shared" si="17"/>
        <v>500000</v>
      </c>
      <c r="G81" s="76"/>
      <c r="H81" s="68">
        <f t="shared" si="16"/>
        <v>500000</v>
      </c>
      <c r="I81" s="21">
        <v>500000</v>
      </c>
      <c r="J81" s="17"/>
      <c r="K81" s="17"/>
      <c r="L81" s="17"/>
      <c r="M81" s="17"/>
      <c r="N81" s="17"/>
      <c r="O81" s="17">
        <f>20000-17000</f>
        <v>3000</v>
      </c>
      <c r="P81" s="17">
        <f>60000+2000</f>
        <v>62000</v>
      </c>
      <c r="Q81" s="17">
        <v>15000</v>
      </c>
      <c r="R81" s="17"/>
      <c r="S81" s="17">
        <v>180000</v>
      </c>
      <c r="T81" s="17">
        <v>85000</v>
      </c>
      <c r="U81" s="17">
        <v>155000</v>
      </c>
      <c r="V81" s="17">
        <f>I81-J81-K81-L81-M81-N81-O81-P81-Q81-R81-S81-T81-U81</f>
        <v>0</v>
      </c>
      <c r="W81" s="17"/>
    </row>
    <row r="82" spans="1:23" ht="36" hidden="1">
      <c r="A82" s="134"/>
      <c r="B82" s="134"/>
      <c r="C82" s="134"/>
      <c r="D82" s="146"/>
      <c r="E82" s="20" t="s">
        <v>169</v>
      </c>
      <c r="F82" s="68">
        <f t="shared" si="17"/>
        <v>0</v>
      </c>
      <c r="G82" s="76">
        <v>1</v>
      </c>
      <c r="H82" s="68">
        <f t="shared" si="16"/>
        <v>0</v>
      </c>
      <c r="I82" s="21">
        <f>100000-100000</f>
        <v>0</v>
      </c>
      <c r="J82" s="17"/>
      <c r="K82" s="17"/>
      <c r="L82" s="17">
        <f>15000-15000</f>
        <v>0</v>
      </c>
      <c r="M82" s="17"/>
      <c r="N82" s="17">
        <f>15000-15000</f>
        <v>0</v>
      </c>
      <c r="O82" s="17">
        <f>25000-5000-20000</f>
        <v>0</v>
      </c>
      <c r="P82" s="17">
        <f>60000-60000</f>
        <v>0</v>
      </c>
      <c r="Q82" s="17"/>
      <c r="R82" s="17"/>
      <c r="S82" s="17"/>
      <c r="T82" s="17">
        <f>20000-20000</f>
        <v>0</v>
      </c>
      <c r="U82" s="17"/>
      <c r="V82" s="17">
        <f t="shared" si="18"/>
        <v>0</v>
      </c>
      <c r="W82" s="17"/>
    </row>
    <row r="83" spans="1:23" ht="36" hidden="1">
      <c r="A83" s="134"/>
      <c r="B83" s="134"/>
      <c r="C83" s="134"/>
      <c r="D83" s="146"/>
      <c r="E83" s="20" t="s">
        <v>170</v>
      </c>
      <c r="F83" s="68">
        <f t="shared" si="17"/>
        <v>0</v>
      </c>
      <c r="G83" s="76">
        <v>1</v>
      </c>
      <c r="H83" s="68">
        <f t="shared" si="16"/>
        <v>0</v>
      </c>
      <c r="I83" s="21">
        <f>400000-400000</f>
        <v>0</v>
      </c>
      <c r="J83" s="17"/>
      <c r="K83" s="17"/>
      <c r="L83" s="17">
        <f>15000-15000</f>
        <v>0</v>
      </c>
      <c r="M83" s="17"/>
      <c r="N83" s="17">
        <f>15000-15000</f>
        <v>0</v>
      </c>
      <c r="O83" s="17"/>
      <c r="P83" s="17"/>
      <c r="Q83" s="17"/>
      <c r="R83" s="17"/>
      <c r="S83" s="17">
        <f>180000-180000</f>
        <v>0</v>
      </c>
      <c r="T83" s="17">
        <f>50000+15000-65000</f>
        <v>0</v>
      </c>
      <c r="U83" s="17">
        <f>155000-155000</f>
        <v>0</v>
      </c>
      <c r="V83" s="17">
        <f t="shared" si="18"/>
        <v>0</v>
      </c>
      <c r="W83" s="17"/>
    </row>
    <row r="84" spans="1:23" ht="42" customHeight="1">
      <c r="A84" s="134"/>
      <c r="B84" s="134"/>
      <c r="C84" s="134"/>
      <c r="D84" s="146"/>
      <c r="E84" s="20" t="s">
        <v>171</v>
      </c>
      <c r="F84" s="68">
        <f t="shared" si="17"/>
        <v>700000</v>
      </c>
      <c r="G84" s="76">
        <v>1</v>
      </c>
      <c r="H84" s="68">
        <f t="shared" si="16"/>
        <v>700000</v>
      </c>
      <c r="I84" s="21">
        <v>700000</v>
      </c>
      <c r="J84" s="17"/>
      <c r="K84" s="17"/>
      <c r="L84" s="17">
        <f>15000-15000</f>
        <v>0</v>
      </c>
      <c r="M84" s="17"/>
      <c r="N84" s="17">
        <f>15000-15000</f>
        <v>0</v>
      </c>
      <c r="O84" s="17"/>
      <c r="P84" s="17"/>
      <c r="Q84" s="17">
        <v>345000</v>
      </c>
      <c r="R84" s="17">
        <v>19000</v>
      </c>
      <c r="S84" s="17">
        <v>91000</v>
      </c>
      <c r="T84" s="17">
        <f>100000+15000</f>
        <v>115000</v>
      </c>
      <c r="U84" s="17">
        <v>130000</v>
      </c>
      <c r="V84" s="17">
        <f t="shared" si="18"/>
        <v>0</v>
      </c>
      <c r="W84" s="17"/>
    </row>
    <row r="85" spans="1:23" ht="37.5">
      <c r="A85" s="134"/>
      <c r="B85" s="134"/>
      <c r="C85" s="134"/>
      <c r="D85" s="146"/>
      <c r="E85" s="20" t="s">
        <v>172</v>
      </c>
      <c r="F85" s="68">
        <f t="shared" si="17"/>
        <v>214500</v>
      </c>
      <c r="G85" s="76">
        <v>1</v>
      </c>
      <c r="H85" s="68">
        <f t="shared" si="16"/>
        <v>214500</v>
      </c>
      <c r="I85" s="21">
        <v>214500</v>
      </c>
      <c r="J85" s="17"/>
      <c r="K85" s="17"/>
      <c r="L85" s="17">
        <f>15000-15000</f>
        <v>0</v>
      </c>
      <c r="M85" s="17"/>
      <c r="N85" s="17">
        <f>15000-15000</f>
        <v>0</v>
      </c>
      <c r="O85" s="17"/>
      <c r="P85" s="17"/>
      <c r="Q85" s="17"/>
      <c r="R85" s="17"/>
      <c r="S85" s="17">
        <v>120000</v>
      </c>
      <c r="T85" s="17">
        <v>15000</v>
      </c>
      <c r="U85" s="17">
        <v>79500</v>
      </c>
      <c r="V85" s="17">
        <f t="shared" si="18"/>
        <v>0</v>
      </c>
      <c r="W85" s="17"/>
    </row>
    <row r="86" spans="1:23" ht="41.25" customHeight="1">
      <c r="A86" s="134"/>
      <c r="B86" s="134"/>
      <c r="C86" s="134"/>
      <c r="D86" s="146"/>
      <c r="E86" s="20" t="s">
        <v>628</v>
      </c>
      <c r="F86" s="68">
        <f t="shared" si="17"/>
        <v>250000</v>
      </c>
      <c r="G86" s="76">
        <v>1</v>
      </c>
      <c r="H86" s="68">
        <f t="shared" si="16"/>
        <v>250000</v>
      </c>
      <c r="I86" s="21">
        <v>250000</v>
      </c>
      <c r="J86" s="17"/>
      <c r="K86" s="17"/>
      <c r="L86" s="17">
        <f>10000-10000</f>
        <v>0</v>
      </c>
      <c r="M86" s="17"/>
      <c r="N86" s="17">
        <v>190000</v>
      </c>
      <c r="O86" s="17">
        <f>10000-77000</f>
        <v>-67000</v>
      </c>
      <c r="P86" s="17"/>
      <c r="Q86" s="17"/>
      <c r="R86" s="17"/>
      <c r="S86" s="17">
        <f>100000-100000</f>
        <v>0</v>
      </c>
      <c r="T86" s="17">
        <v>77000</v>
      </c>
      <c r="U86" s="17">
        <f>140000-90000</f>
        <v>50000</v>
      </c>
      <c r="V86" s="17">
        <f t="shared" si="18"/>
        <v>0</v>
      </c>
      <c r="W86" s="17">
        <f>122751</f>
        <v>122751</v>
      </c>
    </row>
    <row r="87" spans="1:23" ht="56.25">
      <c r="A87" s="134"/>
      <c r="B87" s="134"/>
      <c r="C87" s="134"/>
      <c r="D87" s="146"/>
      <c r="E87" s="20" t="s">
        <v>329</v>
      </c>
      <c r="F87" s="68">
        <f t="shared" si="17"/>
        <v>450000</v>
      </c>
      <c r="G87" s="76">
        <v>1</v>
      </c>
      <c r="H87" s="68">
        <f t="shared" si="16"/>
        <v>450000</v>
      </c>
      <c r="I87" s="21">
        <f>400000+50000</f>
        <v>450000</v>
      </c>
      <c r="J87" s="17"/>
      <c r="K87" s="17"/>
      <c r="L87" s="17">
        <f>25000-25000</f>
        <v>0</v>
      </c>
      <c r="M87" s="17"/>
      <c r="N87" s="17"/>
      <c r="O87" s="17">
        <v>25000</v>
      </c>
      <c r="P87" s="17">
        <v>80000</v>
      </c>
      <c r="Q87" s="17">
        <v>45000</v>
      </c>
      <c r="R87" s="17"/>
      <c r="S87" s="17">
        <v>100000</v>
      </c>
      <c r="T87" s="17">
        <v>50000</v>
      </c>
      <c r="U87" s="17">
        <v>150000</v>
      </c>
      <c r="V87" s="17">
        <f t="shared" si="18"/>
        <v>0</v>
      </c>
      <c r="W87" s="17"/>
    </row>
    <row r="88" spans="1:23" ht="40.5" customHeight="1">
      <c r="A88" s="134"/>
      <c r="B88" s="134"/>
      <c r="C88" s="134"/>
      <c r="D88" s="146"/>
      <c r="E88" s="20" t="s">
        <v>173</v>
      </c>
      <c r="F88" s="68">
        <f t="shared" si="17"/>
        <v>55000</v>
      </c>
      <c r="G88" s="76">
        <v>1</v>
      </c>
      <c r="H88" s="68">
        <f t="shared" si="16"/>
        <v>55000</v>
      </c>
      <c r="I88" s="21">
        <f>65000-10000</f>
        <v>55000</v>
      </c>
      <c r="J88" s="17"/>
      <c r="K88" s="17"/>
      <c r="L88" s="17">
        <f>65000-65000</f>
        <v>0</v>
      </c>
      <c r="M88" s="17"/>
      <c r="N88" s="17"/>
      <c r="O88" s="17">
        <f>15000-10000</f>
        <v>5000</v>
      </c>
      <c r="P88" s="17">
        <v>35000</v>
      </c>
      <c r="Q88" s="17"/>
      <c r="R88" s="17"/>
      <c r="S88" s="17"/>
      <c r="T88" s="17"/>
      <c r="U88" s="17">
        <v>15000</v>
      </c>
      <c r="V88" s="17">
        <f t="shared" si="18"/>
        <v>0</v>
      </c>
      <c r="W88" s="17"/>
    </row>
    <row r="89" spans="1:23" ht="37.5">
      <c r="A89" s="134"/>
      <c r="B89" s="134"/>
      <c r="C89" s="134"/>
      <c r="D89" s="146"/>
      <c r="E89" s="20" t="s">
        <v>174</v>
      </c>
      <c r="F89" s="68">
        <f t="shared" si="17"/>
        <v>500000</v>
      </c>
      <c r="G89" s="76">
        <v>1</v>
      </c>
      <c r="H89" s="68">
        <f t="shared" si="16"/>
        <v>500000</v>
      </c>
      <c r="I89" s="21">
        <v>500000</v>
      </c>
      <c r="J89" s="17"/>
      <c r="K89" s="17"/>
      <c r="L89" s="17">
        <v>25000</v>
      </c>
      <c r="M89" s="17">
        <v>-25000</v>
      </c>
      <c r="N89" s="17">
        <f>25000-25000</f>
        <v>0</v>
      </c>
      <c r="O89" s="17"/>
      <c r="P89" s="17">
        <v>100000</v>
      </c>
      <c r="Q89" s="17">
        <v>75000</v>
      </c>
      <c r="R89" s="17">
        <v>7574.68</v>
      </c>
      <c r="S89" s="17">
        <v>150000</v>
      </c>
      <c r="T89" s="17">
        <f>100000+10000</f>
        <v>110000</v>
      </c>
      <c r="U89" s="17">
        <f>42425.32+15000</f>
        <v>57425.32</v>
      </c>
      <c r="V89" s="17">
        <f t="shared" si="18"/>
        <v>0</v>
      </c>
      <c r="W89" s="17"/>
    </row>
    <row r="90" spans="1:23" ht="37.5">
      <c r="A90" s="134"/>
      <c r="B90" s="134"/>
      <c r="C90" s="134"/>
      <c r="D90" s="146"/>
      <c r="E90" s="20" t="s">
        <v>175</v>
      </c>
      <c r="F90" s="68">
        <f t="shared" si="17"/>
        <v>100000</v>
      </c>
      <c r="G90" s="76">
        <v>1</v>
      </c>
      <c r="H90" s="68">
        <f t="shared" si="16"/>
        <v>100000</v>
      </c>
      <c r="I90" s="21">
        <v>100000</v>
      </c>
      <c r="J90" s="17"/>
      <c r="K90" s="17"/>
      <c r="L90" s="17">
        <v>10000</v>
      </c>
      <c r="M90" s="17"/>
      <c r="N90" s="17">
        <v>-10000</v>
      </c>
      <c r="O90" s="17"/>
      <c r="P90" s="17"/>
      <c r="Q90" s="17">
        <v>90000</v>
      </c>
      <c r="R90" s="17"/>
      <c r="S90" s="17"/>
      <c r="T90" s="17"/>
      <c r="U90" s="17">
        <v>10000</v>
      </c>
      <c r="V90" s="17">
        <f t="shared" si="18"/>
        <v>0</v>
      </c>
      <c r="W90" s="17"/>
    </row>
    <row r="91" spans="1:23" ht="36" hidden="1">
      <c r="A91" s="134"/>
      <c r="B91" s="134"/>
      <c r="C91" s="134"/>
      <c r="D91" s="146"/>
      <c r="E91" s="20" t="s">
        <v>836</v>
      </c>
      <c r="F91" s="68">
        <f t="shared" si="17"/>
        <v>0</v>
      </c>
      <c r="G91" s="76">
        <v>1</v>
      </c>
      <c r="H91" s="68">
        <f t="shared" si="16"/>
        <v>0</v>
      </c>
      <c r="I91" s="21">
        <f>50000-50000</f>
        <v>0</v>
      </c>
      <c r="J91" s="17"/>
      <c r="K91" s="17"/>
      <c r="L91" s="17">
        <v>10000</v>
      </c>
      <c r="M91" s="17"/>
      <c r="N91" s="17">
        <f>40000-50000</f>
        <v>-10000</v>
      </c>
      <c r="O91" s="17"/>
      <c r="P91" s="17"/>
      <c r="Q91" s="17"/>
      <c r="R91" s="17"/>
      <c r="S91" s="17"/>
      <c r="T91" s="17"/>
      <c r="U91" s="17">
        <f>50000-50000</f>
        <v>0</v>
      </c>
      <c r="V91" s="17">
        <f t="shared" si="18"/>
        <v>0</v>
      </c>
      <c r="W91" s="17"/>
    </row>
    <row r="92" spans="1:23" ht="37.5">
      <c r="A92" s="134"/>
      <c r="B92" s="134"/>
      <c r="C92" s="134"/>
      <c r="D92" s="146"/>
      <c r="E92" s="20" t="s">
        <v>837</v>
      </c>
      <c r="F92" s="68">
        <f t="shared" si="17"/>
        <v>100000</v>
      </c>
      <c r="G92" s="76">
        <v>1</v>
      </c>
      <c r="H92" s="68">
        <f t="shared" si="16"/>
        <v>100000</v>
      </c>
      <c r="I92" s="21">
        <f>50000+50000</f>
        <v>100000</v>
      </c>
      <c r="J92" s="17"/>
      <c r="K92" s="17"/>
      <c r="L92" s="17">
        <v>10000</v>
      </c>
      <c r="M92" s="17"/>
      <c r="N92" s="17">
        <v>-10000</v>
      </c>
      <c r="O92" s="17"/>
      <c r="P92" s="17">
        <v>40000</v>
      </c>
      <c r="Q92" s="17"/>
      <c r="R92" s="17"/>
      <c r="S92" s="17"/>
      <c r="T92" s="17"/>
      <c r="U92" s="17">
        <f>10000+50000</f>
        <v>60000</v>
      </c>
      <c r="V92" s="17">
        <f t="shared" si="18"/>
        <v>0</v>
      </c>
      <c r="W92" s="17"/>
    </row>
    <row r="93" spans="1:23" ht="37.5">
      <c r="A93" s="134"/>
      <c r="B93" s="134"/>
      <c r="C93" s="134"/>
      <c r="D93" s="146"/>
      <c r="E93" s="20" t="s">
        <v>838</v>
      </c>
      <c r="F93" s="68">
        <f t="shared" si="17"/>
        <v>500000</v>
      </c>
      <c r="G93" s="76">
        <v>1</v>
      </c>
      <c r="H93" s="68">
        <f t="shared" si="16"/>
        <v>500000</v>
      </c>
      <c r="I93" s="21">
        <v>500000</v>
      </c>
      <c r="J93" s="17"/>
      <c r="K93" s="17"/>
      <c r="L93" s="17">
        <v>15000</v>
      </c>
      <c r="M93" s="17"/>
      <c r="N93" s="17">
        <v>-15000</v>
      </c>
      <c r="O93" s="17"/>
      <c r="P93" s="17"/>
      <c r="Q93" s="17">
        <v>105000</v>
      </c>
      <c r="R93" s="17"/>
      <c r="S93" s="17">
        <v>100000</v>
      </c>
      <c r="T93" s="17">
        <v>80000</v>
      </c>
      <c r="U93" s="17">
        <f>200000+15000</f>
        <v>215000</v>
      </c>
      <c r="V93" s="17">
        <f t="shared" si="18"/>
        <v>0</v>
      </c>
      <c r="W93" s="17"/>
    </row>
    <row r="94" spans="1:23" ht="37.5">
      <c r="A94" s="134"/>
      <c r="B94" s="134"/>
      <c r="C94" s="134"/>
      <c r="D94" s="146"/>
      <c r="E94" s="20" t="s">
        <v>839</v>
      </c>
      <c r="F94" s="68">
        <f t="shared" si="17"/>
        <v>35900</v>
      </c>
      <c r="G94" s="76">
        <v>1</v>
      </c>
      <c r="H94" s="68">
        <f t="shared" si="16"/>
        <v>35900</v>
      </c>
      <c r="I94" s="21">
        <v>35900</v>
      </c>
      <c r="J94" s="17"/>
      <c r="K94" s="17"/>
      <c r="L94" s="17">
        <v>35900</v>
      </c>
      <c r="M94" s="17"/>
      <c r="N94" s="17"/>
      <c r="O94" s="17"/>
      <c r="P94" s="17"/>
      <c r="Q94" s="17"/>
      <c r="R94" s="17"/>
      <c r="S94" s="17"/>
      <c r="T94" s="17"/>
      <c r="U94" s="17"/>
      <c r="V94" s="17">
        <f t="shared" si="18"/>
        <v>0</v>
      </c>
      <c r="W94" s="17">
        <v>33367</v>
      </c>
    </row>
    <row r="95" spans="1:23" ht="37.5">
      <c r="A95" s="134"/>
      <c r="B95" s="134"/>
      <c r="C95" s="134"/>
      <c r="D95" s="146"/>
      <c r="E95" s="20" t="s">
        <v>840</v>
      </c>
      <c r="F95" s="68">
        <f t="shared" si="17"/>
        <v>550000</v>
      </c>
      <c r="G95" s="76">
        <v>1</v>
      </c>
      <c r="H95" s="68">
        <f t="shared" si="16"/>
        <v>550000</v>
      </c>
      <c r="I95" s="21">
        <v>550000</v>
      </c>
      <c r="J95" s="17"/>
      <c r="K95" s="17"/>
      <c r="L95" s="17">
        <v>25000</v>
      </c>
      <c r="M95" s="17">
        <v>-25000</v>
      </c>
      <c r="N95" s="17">
        <f>60000+25000-37504</f>
        <v>47496</v>
      </c>
      <c r="O95" s="17"/>
      <c r="P95" s="17"/>
      <c r="Q95" s="17">
        <f>155000+7504-162000</f>
        <v>504</v>
      </c>
      <c r="R95" s="17"/>
      <c r="S95" s="17">
        <v>160000</v>
      </c>
      <c r="T95" s="17">
        <f>30000+103000</f>
        <v>133000</v>
      </c>
      <c r="U95" s="17">
        <f>150000+59000</f>
        <v>209000</v>
      </c>
      <c r="V95" s="17">
        <f t="shared" si="18"/>
        <v>0</v>
      </c>
      <c r="W95" s="17"/>
    </row>
    <row r="96" spans="1:23" ht="42" customHeight="1" hidden="1">
      <c r="A96" s="134"/>
      <c r="B96" s="134"/>
      <c r="C96" s="134"/>
      <c r="D96" s="146"/>
      <c r="E96" s="20" t="s">
        <v>133</v>
      </c>
      <c r="F96" s="68">
        <f t="shared" si="17"/>
        <v>0</v>
      </c>
      <c r="G96" s="76">
        <v>1</v>
      </c>
      <c r="H96" s="68">
        <f t="shared" si="16"/>
        <v>0</v>
      </c>
      <c r="I96" s="21">
        <f>650000-650000</f>
        <v>0</v>
      </c>
      <c r="J96" s="17"/>
      <c r="K96" s="17"/>
      <c r="L96" s="17">
        <v>25000</v>
      </c>
      <c r="M96" s="17"/>
      <c r="N96" s="17">
        <v>-25000</v>
      </c>
      <c r="O96" s="17"/>
      <c r="P96" s="17">
        <f>200000-200000</f>
        <v>0</v>
      </c>
      <c r="Q96" s="17">
        <f>185000+25000-210000</f>
        <v>0</v>
      </c>
      <c r="R96" s="17"/>
      <c r="S96" s="17"/>
      <c r="T96" s="17">
        <f>120000-120000</f>
        <v>0</v>
      </c>
      <c r="U96" s="17">
        <f>120000-120000</f>
        <v>0</v>
      </c>
      <c r="V96" s="17">
        <f t="shared" si="18"/>
        <v>0</v>
      </c>
      <c r="W96" s="17"/>
    </row>
    <row r="97" spans="1:23" ht="42" customHeight="1">
      <c r="A97" s="134"/>
      <c r="B97" s="134"/>
      <c r="C97" s="134"/>
      <c r="D97" s="146"/>
      <c r="E97" s="20" t="s">
        <v>337</v>
      </c>
      <c r="F97" s="68">
        <f t="shared" si="17"/>
        <v>380000</v>
      </c>
      <c r="G97" s="76"/>
      <c r="H97" s="68">
        <f t="shared" si="16"/>
        <v>380000</v>
      </c>
      <c r="I97" s="21">
        <v>380000</v>
      </c>
      <c r="J97" s="17"/>
      <c r="K97" s="17"/>
      <c r="L97" s="17"/>
      <c r="M97" s="17"/>
      <c r="N97" s="17"/>
      <c r="O97" s="17"/>
      <c r="P97" s="17"/>
      <c r="Q97" s="17">
        <v>100000</v>
      </c>
      <c r="R97" s="17"/>
      <c r="S97" s="17">
        <v>180000</v>
      </c>
      <c r="T97" s="17"/>
      <c r="U97" s="17">
        <v>100000</v>
      </c>
      <c r="V97" s="17">
        <f>I97-J97-K97-L97-M97-N97-O97-P97-Q97-R97-S97-T97-U97</f>
        <v>0</v>
      </c>
      <c r="W97" s="17"/>
    </row>
    <row r="98" spans="1:23" ht="56.25">
      <c r="A98" s="134"/>
      <c r="B98" s="134"/>
      <c r="C98" s="134"/>
      <c r="D98" s="146"/>
      <c r="E98" s="20" t="s">
        <v>825</v>
      </c>
      <c r="F98" s="68">
        <f t="shared" si="17"/>
        <v>78300</v>
      </c>
      <c r="G98" s="76">
        <v>1</v>
      </c>
      <c r="H98" s="68">
        <f t="shared" si="16"/>
        <v>78300</v>
      </c>
      <c r="I98" s="21">
        <v>78300</v>
      </c>
      <c r="J98" s="17"/>
      <c r="K98" s="17"/>
      <c r="L98" s="17">
        <v>15000</v>
      </c>
      <c r="M98" s="17"/>
      <c r="N98" s="17">
        <v>-15000</v>
      </c>
      <c r="O98" s="17"/>
      <c r="P98" s="17"/>
      <c r="Q98" s="17">
        <v>15000</v>
      </c>
      <c r="R98" s="17"/>
      <c r="S98" s="17">
        <v>63300</v>
      </c>
      <c r="T98" s="17"/>
      <c r="U98" s="17"/>
      <c r="V98" s="17">
        <f t="shared" si="18"/>
        <v>0</v>
      </c>
      <c r="W98" s="17"/>
    </row>
    <row r="99" spans="1:23" ht="37.5">
      <c r="A99" s="134"/>
      <c r="B99" s="134"/>
      <c r="C99" s="134"/>
      <c r="D99" s="146"/>
      <c r="E99" s="20" t="s">
        <v>281</v>
      </c>
      <c r="F99" s="68">
        <f t="shared" si="17"/>
        <v>450000</v>
      </c>
      <c r="G99" s="76">
        <v>1</v>
      </c>
      <c r="H99" s="68">
        <f t="shared" si="16"/>
        <v>450000</v>
      </c>
      <c r="I99" s="21">
        <v>450000</v>
      </c>
      <c r="J99" s="17"/>
      <c r="K99" s="17"/>
      <c r="L99" s="17">
        <v>25000</v>
      </c>
      <c r="M99" s="17">
        <v>-25000</v>
      </c>
      <c r="N99" s="17"/>
      <c r="O99" s="17"/>
      <c r="P99" s="17">
        <v>85000</v>
      </c>
      <c r="Q99" s="17">
        <f>80000+25000-105000</f>
        <v>0</v>
      </c>
      <c r="R99" s="17"/>
      <c r="S99" s="17">
        <v>100000</v>
      </c>
      <c r="T99" s="17">
        <f>160000+105000</f>
        <v>265000</v>
      </c>
      <c r="U99" s="17"/>
      <c r="V99" s="17">
        <f t="shared" si="18"/>
        <v>0</v>
      </c>
      <c r="W99" s="17"/>
    </row>
    <row r="100" spans="1:23" ht="37.5">
      <c r="A100" s="134"/>
      <c r="B100" s="134"/>
      <c r="C100" s="134"/>
      <c r="D100" s="146"/>
      <c r="E100" s="20" t="s">
        <v>282</v>
      </c>
      <c r="F100" s="68">
        <f t="shared" si="17"/>
        <v>350000</v>
      </c>
      <c r="G100" s="76">
        <v>1</v>
      </c>
      <c r="H100" s="68">
        <f t="shared" si="16"/>
        <v>350000</v>
      </c>
      <c r="I100" s="21">
        <v>350000</v>
      </c>
      <c r="J100" s="17"/>
      <c r="K100" s="17"/>
      <c r="L100" s="17">
        <v>20000</v>
      </c>
      <c r="M100" s="17">
        <v>60000</v>
      </c>
      <c r="N100" s="17">
        <v>-50000</v>
      </c>
      <c r="O100" s="17">
        <v>-30000</v>
      </c>
      <c r="P100" s="17"/>
      <c r="Q100" s="17">
        <f>90000+50000-118000</f>
        <v>22000</v>
      </c>
      <c r="R100" s="17"/>
      <c r="S100" s="17">
        <f>60000+106000+7000</f>
        <v>173000</v>
      </c>
      <c r="T100" s="17">
        <f>120000+12000+23000</f>
        <v>155000</v>
      </c>
      <c r="U100" s="17"/>
      <c r="V100" s="17">
        <f t="shared" si="18"/>
        <v>0</v>
      </c>
      <c r="W100" s="17"/>
    </row>
    <row r="101" spans="1:23" ht="41.25" customHeight="1">
      <c r="A101" s="134"/>
      <c r="B101" s="134"/>
      <c r="C101" s="134"/>
      <c r="D101" s="146"/>
      <c r="E101" s="20" t="s">
        <v>826</v>
      </c>
      <c r="F101" s="68">
        <f t="shared" si="17"/>
        <v>11500</v>
      </c>
      <c r="G101" s="76">
        <v>1</v>
      </c>
      <c r="H101" s="68">
        <f t="shared" si="16"/>
        <v>11500</v>
      </c>
      <c r="I101" s="21">
        <v>11500</v>
      </c>
      <c r="J101" s="17"/>
      <c r="K101" s="17"/>
      <c r="L101" s="17">
        <v>11500</v>
      </c>
      <c r="M101" s="17"/>
      <c r="N101" s="17"/>
      <c r="O101" s="17">
        <v>-11000</v>
      </c>
      <c r="P101" s="17"/>
      <c r="Q101" s="17"/>
      <c r="R101" s="17"/>
      <c r="S101" s="17">
        <v>11000</v>
      </c>
      <c r="T101" s="17"/>
      <c r="U101" s="17"/>
      <c r="V101" s="17">
        <f t="shared" si="18"/>
        <v>0</v>
      </c>
      <c r="W101" s="17"/>
    </row>
    <row r="102" spans="1:23" ht="56.25">
      <c r="A102" s="134"/>
      <c r="B102" s="134"/>
      <c r="C102" s="134"/>
      <c r="D102" s="146"/>
      <c r="E102" s="20" t="s">
        <v>829</v>
      </c>
      <c r="F102" s="68">
        <f t="shared" si="17"/>
        <v>18700</v>
      </c>
      <c r="G102" s="76">
        <v>1</v>
      </c>
      <c r="H102" s="68">
        <f t="shared" si="16"/>
        <v>18700</v>
      </c>
      <c r="I102" s="21">
        <v>18700</v>
      </c>
      <c r="J102" s="17"/>
      <c r="K102" s="17"/>
      <c r="L102" s="17">
        <v>18700</v>
      </c>
      <c r="M102" s="17"/>
      <c r="N102" s="17"/>
      <c r="O102" s="17">
        <v>-18000</v>
      </c>
      <c r="P102" s="17"/>
      <c r="Q102" s="17"/>
      <c r="R102" s="17"/>
      <c r="S102" s="17">
        <v>18000</v>
      </c>
      <c r="T102" s="17"/>
      <c r="U102" s="17"/>
      <c r="V102" s="17">
        <f t="shared" si="18"/>
        <v>0</v>
      </c>
      <c r="W102" s="17"/>
    </row>
    <row r="103" spans="1:23" ht="117.75" customHeight="1">
      <c r="A103" s="134"/>
      <c r="B103" s="134"/>
      <c r="C103" s="134"/>
      <c r="D103" s="146"/>
      <c r="E103" s="20" t="s">
        <v>114</v>
      </c>
      <c r="F103" s="68">
        <f t="shared" si="17"/>
        <v>1000000</v>
      </c>
      <c r="G103" s="76">
        <v>1</v>
      </c>
      <c r="H103" s="68">
        <f t="shared" si="16"/>
        <v>1000000</v>
      </c>
      <c r="I103" s="21">
        <v>1000000</v>
      </c>
      <c r="J103" s="17"/>
      <c r="K103" s="17">
        <v>1000000</v>
      </c>
      <c r="L103" s="17"/>
      <c r="M103" s="17"/>
      <c r="N103" s="17">
        <v>-500000</v>
      </c>
      <c r="O103" s="17"/>
      <c r="P103" s="17">
        <v>400000</v>
      </c>
      <c r="Q103" s="17"/>
      <c r="R103" s="17"/>
      <c r="S103" s="17"/>
      <c r="T103" s="17"/>
      <c r="U103" s="17">
        <v>100000</v>
      </c>
      <c r="V103" s="17">
        <f t="shared" si="18"/>
        <v>0</v>
      </c>
      <c r="W103" s="17">
        <f>480643.8</f>
        <v>480643.8</v>
      </c>
    </row>
    <row r="104" spans="1:23" ht="37.5">
      <c r="A104" s="134"/>
      <c r="B104" s="134"/>
      <c r="C104" s="134"/>
      <c r="D104" s="146"/>
      <c r="E104" s="20" t="s">
        <v>90</v>
      </c>
      <c r="F104" s="68">
        <f t="shared" si="17"/>
        <v>97500</v>
      </c>
      <c r="G104" s="76">
        <v>1</v>
      </c>
      <c r="H104" s="68">
        <f t="shared" si="16"/>
        <v>97500</v>
      </c>
      <c r="I104" s="21">
        <v>97500</v>
      </c>
      <c r="J104" s="17"/>
      <c r="K104" s="17"/>
      <c r="L104" s="17">
        <v>15000</v>
      </c>
      <c r="M104" s="17"/>
      <c r="N104" s="17">
        <v>-15000</v>
      </c>
      <c r="O104" s="17"/>
      <c r="P104" s="17"/>
      <c r="Q104" s="17">
        <v>32500</v>
      </c>
      <c r="R104" s="17"/>
      <c r="S104" s="17">
        <f>50000+15000</f>
        <v>65000</v>
      </c>
      <c r="T104" s="17"/>
      <c r="U104" s="17"/>
      <c r="V104" s="17">
        <f t="shared" si="18"/>
        <v>0</v>
      </c>
      <c r="W104" s="17"/>
    </row>
    <row r="105" spans="1:23" ht="37.5">
      <c r="A105" s="134"/>
      <c r="B105" s="134"/>
      <c r="C105" s="134"/>
      <c r="D105" s="146"/>
      <c r="E105" s="20" t="s">
        <v>91</v>
      </c>
      <c r="F105" s="68">
        <f t="shared" si="17"/>
        <v>950000</v>
      </c>
      <c r="G105" s="76">
        <v>1</v>
      </c>
      <c r="H105" s="68">
        <f t="shared" si="16"/>
        <v>950000</v>
      </c>
      <c r="I105" s="21">
        <v>950000</v>
      </c>
      <c r="J105" s="17"/>
      <c r="K105" s="17"/>
      <c r="L105" s="17">
        <v>25000</v>
      </c>
      <c r="M105" s="17"/>
      <c r="N105" s="17">
        <v>-25000</v>
      </c>
      <c r="O105" s="17">
        <v>300000</v>
      </c>
      <c r="P105" s="17"/>
      <c r="Q105" s="17">
        <f>325000-300000</f>
        <v>25000</v>
      </c>
      <c r="R105" s="17"/>
      <c r="S105" s="17">
        <f>50000+25000</f>
        <v>75000</v>
      </c>
      <c r="T105" s="17">
        <v>400000</v>
      </c>
      <c r="U105" s="17">
        <v>150000</v>
      </c>
      <c r="V105" s="17">
        <f t="shared" si="18"/>
        <v>0</v>
      </c>
      <c r="W105" s="17">
        <f>300000</f>
        <v>300000</v>
      </c>
    </row>
    <row r="106" spans="1:23" ht="41.25" customHeight="1">
      <c r="A106" s="134"/>
      <c r="B106" s="134"/>
      <c r="C106" s="134"/>
      <c r="D106" s="146"/>
      <c r="E106" s="20" t="s">
        <v>92</v>
      </c>
      <c r="F106" s="68">
        <f t="shared" si="17"/>
        <v>400000</v>
      </c>
      <c r="G106" s="76">
        <v>1</v>
      </c>
      <c r="H106" s="68">
        <f t="shared" si="16"/>
        <v>400000</v>
      </c>
      <c r="I106" s="21">
        <v>400000</v>
      </c>
      <c r="J106" s="17"/>
      <c r="K106" s="17"/>
      <c r="L106" s="17">
        <v>15000</v>
      </c>
      <c r="M106" s="17"/>
      <c r="N106" s="17"/>
      <c r="O106" s="17">
        <v>-12000</v>
      </c>
      <c r="P106" s="17"/>
      <c r="Q106" s="17">
        <f>90000+12000</f>
        <v>102000</v>
      </c>
      <c r="R106" s="17"/>
      <c r="S106" s="17">
        <v>95000</v>
      </c>
      <c r="T106" s="17">
        <v>100000</v>
      </c>
      <c r="U106" s="17">
        <v>100000</v>
      </c>
      <c r="V106" s="17">
        <f t="shared" si="18"/>
        <v>0</v>
      </c>
      <c r="W106" s="17">
        <f>2257</f>
        <v>2257</v>
      </c>
    </row>
    <row r="107" spans="1:23" ht="37.5">
      <c r="A107" s="134"/>
      <c r="B107" s="134"/>
      <c r="C107" s="134"/>
      <c r="D107" s="146"/>
      <c r="E107" s="20" t="s">
        <v>151</v>
      </c>
      <c r="F107" s="68">
        <f t="shared" si="17"/>
        <v>500000</v>
      </c>
      <c r="G107" s="76">
        <v>1</v>
      </c>
      <c r="H107" s="68">
        <f t="shared" si="16"/>
        <v>500000</v>
      </c>
      <c r="I107" s="21">
        <v>500000</v>
      </c>
      <c r="J107" s="17"/>
      <c r="K107" s="17"/>
      <c r="L107" s="17">
        <v>25000</v>
      </c>
      <c r="M107" s="17"/>
      <c r="N107" s="17">
        <v>-25000</v>
      </c>
      <c r="O107" s="17"/>
      <c r="P107" s="17"/>
      <c r="Q107" s="17">
        <v>75000</v>
      </c>
      <c r="R107" s="17"/>
      <c r="S107" s="17">
        <f>180000+25000</f>
        <v>205000</v>
      </c>
      <c r="T107" s="17">
        <v>100000</v>
      </c>
      <c r="U107" s="17">
        <v>120000</v>
      </c>
      <c r="V107" s="17">
        <f t="shared" si="18"/>
        <v>0</v>
      </c>
      <c r="W107" s="17"/>
    </row>
    <row r="108" spans="1:23" ht="42" customHeight="1">
      <c r="A108" s="134"/>
      <c r="B108" s="134"/>
      <c r="C108" s="134"/>
      <c r="D108" s="146"/>
      <c r="E108" s="20" t="s">
        <v>93</v>
      </c>
      <c r="F108" s="68">
        <f t="shared" si="17"/>
        <v>53500</v>
      </c>
      <c r="G108" s="76">
        <v>1</v>
      </c>
      <c r="H108" s="68">
        <f t="shared" si="16"/>
        <v>53500</v>
      </c>
      <c r="I108" s="21">
        <v>53500</v>
      </c>
      <c r="J108" s="17"/>
      <c r="K108" s="17"/>
      <c r="L108" s="17">
        <v>53500</v>
      </c>
      <c r="M108" s="17"/>
      <c r="N108" s="17">
        <v>-39000</v>
      </c>
      <c r="O108" s="17">
        <v>-14000</v>
      </c>
      <c r="P108" s="17"/>
      <c r="Q108" s="17">
        <v>14000</v>
      </c>
      <c r="R108" s="17"/>
      <c r="S108" s="17"/>
      <c r="T108" s="17">
        <v>39000</v>
      </c>
      <c r="U108" s="17"/>
      <c r="V108" s="17">
        <f t="shared" si="18"/>
        <v>0</v>
      </c>
      <c r="W108" s="17"/>
    </row>
    <row r="109" spans="1:23" ht="37.5">
      <c r="A109" s="134"/>
      <c r="B109" s="134"/>
      <c r="C109" s="134"/>
      <c r="D109" s="146"/>
      <c r="E109" s="20" t="s">
        <v>72</v>
      </c>
      <c r="F109" s="68">
        <f t="shared" si="17"/>
        <v>4600</v>
      </c>
      <c r="G109" s="76">
        <v>1</v>
      </c>
      <c r="H109" s="68">
        <f t="shared" si="16"/>
        <v>4600</v>
      </c>
      <c r="I109" s="21">
        <v>4600</v>
      </c>
      <c r="J109" s="17"/>
      <c r="K109" s="17"/>
      <c r="L109" s="17">
        <v>4600</v>
      </c>
      <c r="M109" s="17"/>
      <c r="N109" s="17"/>
      <c r="O109" s="17">
        <v>-4000</v>
      </c>
      <c r="P109" s="17"/>
      <c r="Q109" s="17">
        <v>4000</v>
      </c>
      <c r="R109" s="17"/>
      <c r="S109" s="17"/>
      <c r="T109" s="17"/>
      <c r="U109" s="17"/>
      <c r="V109" s="17">
        <f t="shared" si="18"/>
        <v>0</v>
      </c>
      <c r="W109" s="17"/>
    </row>
    <row r="110" spans="1:23" ht="62.25" customHeight="1" hidden="1">
      <c r="A110" s="134"/>
      <c r="B110" s="134"/>
      <c r="C110" s="134"/>
      <c r="D110" s="146"/>
      <c r="E110" s="20" t="s">
        <v>778</v>
      </c>
      <c r="F110" s="68">
        <f t="shared" si="17"/>
        <v>0</v>
      </c>
      <c r="G110" s="76">
        <v>1</v>
      </c>
      <c r="H110" s="68">
        <f t="shared" si="16"/>
        <v>0</v>
      </c>
      <c r="I110" s="21">
        <f>39600-39600</f>
        <v>0</v>
      </c>
      <c r="J110" s="17"/>
      <c r="K110" s="17"/>
      <c r="L110" s="17">
        <v>39600</v>
      </c>
      <c r="M110" s="17">
        <v>-39600</v>
      </c>
      <c r="N110" s="17"/>
      <c r="O110" s="17"/>
      <c r="P110" s="17"/>
      <c r="Q110" s="17"/>
      <c r="R110" s="17"/>
      <c r="S110" s="17"/>
      <c r="T110" s="17"/>
      <c r="U110" s="17"/>
      <c r="V110" s="17">
        <f t="shared" si="18"/>
        <v>0</v>
      </c>
      <c r="W110" s="17"/>
    </row>
    <row r="111" spans="1:23" ht="37.5">
      <c r="A111" s="134"/>
      <c r="B111" s="134"/>
      <c r="C111" s="134"/>
      <c r="D111" s="146"/>
      <c r="E111" s="20" t="s">
        <v>779</v>
      </c>
      <c r="F111" s="68">
        <f t="shared" si="17"/>
        <v>102200</v>
      </c>
      <c r="G111" s="76">
        <v>1</v>
      </c>
      <c r="H111" s="68">
        <f t="shared" si="16"/>
        <v>102200</v>
      </c>
      <c r="I111" s="21">
        <v>102200</v>
      </c>
      <c r="J111" s="17"/>
      <c r="K111" s="17"/>
      <c r="L111" s="17">
        <v>10000</v>
      </c>
      <c r="M111" s="17"/>
      <c r="N111" s="17"/>
      <c r="O111" s="17">
        <v>-10000</v>
      </c>
      <c r="P111" s="17">
        <v>92200</v>
      </c>
      <c r="Q111" s="17">
        <v>10000</v>
      </c>
      <c r="R111" s="17"/>
      <c r="S111" s="17"/>
      <c r="T111" s="17"/>
      <c r="U111" s="17"/>
      <c r="V111" s="17">
        <f t="shared" si="18"/>
        <v>0</v>
      </c>
      <c r="W111" s="17"/>
    </row>
    <row r="112" spans="1:23" ht="37.5">
      <c r="A112" s="134"/>
      <c r="B112" s="134"/>
      <c r="C112" s="134"/>
      <c r="D112" s="146"/>
      <c r="E112" s="20" t="s">
        <v>780</v>
      </c>
      <c r="F112" s="68">
        <f t="shared" si="17"/>
        <v>66500</v>
      </c>
      <c r="G112" s="76">
        <v>1</v>
      </c>
      <c r="H112" s="68">
        <f t="shared" si="16"/>
        <v>66500</v>
      </c>
      <c r="I112" s="21">
        <v>66500</v>
      </c>
      <c r="J112" s="17"/>
      <c r="K112" s="17"/>
      <c r="L112" s="17"/>
      <c r="M112" s="17"/>
      <c r="N112" s="17"/>
      <c r="O112" s="17"/>
      <c r="P112" s="17">
        <v>66500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56.25">
      <c r="A113" s="134"/>
      <c r="B113" s="134"/>
      <c r="C113" s="134"/>
      <c r="D113" s="146"/>
      <c r="E113" s="20" t="s">
        <v>781</v>
      </c>
      <c r="F113" s="68">
        <f t="shared" si="17"/>
        <v>400000</v>
      </c>
      <c r="G113" s="76">
        <v>1</v>
      </c>
      <c r="H113" s="68">
        <f t="shared" si="16"/>
        <v>400000</v>
      </c>
      <c r="I113" s="21">
        <v>400000</v>
      </c>
      <c r="J113" s="17"/>
      <c r="K113" s="17"/>
      <c r="L113" s="17">
        <v>15000</v>
      </c>
      <c r="M113" s="17"/>
      <c r="N113" s="17"/>
      <c r="O113" s="17">
        <v>-15000</v>
      </c>
      <c r="P113" s="17"/>
      <c r="Q113" s="17">
        <f>55000+15000</f>
        <v>70000</v>
      </c>
      <c r="R113" s="17"/>
      <c r="S113" s="17">
        <v>180000</v>
      </c>
      <c r="T113" s="17">
        <v>150000</v>
      </c>
      <c r="U113" s="17"/>
      <c r="V113" s="17">
        <f t="shared" si="18"/>
        <v>0</v>
      </c>
      <c r="W113" s="17"/>
    </row>
    <row r="114" spans="1:23" ht="56.25">
      <c r="A114" s="134"/>
      <c r="B114" s="134"/>
      <c r="C114" s="134"/>
      <c r="D114" s="146"/>
      <c r="E114" s="20" t="s">
        <v>189</v>
      </c>
      <c r="F114" s="68">
        <f t="shared" si="17"/>
        <v>191100</v>
      </c>
      <c r="G114" s="76">
        <v>1</v>
      </c>
      <c r="H114" s="68">
        <f t="shared" si="16"/>
        <v>191100</v>
      </c>
      <c r="I114" s="21">
        <v>191100</v>
      </c>
      <c r="J114" s="17"/>
      <c r="K114" s="17"/>
      <c r="L114" s="17">
        <v>15000</v>
      </c>
      <c r="M114" s="17"/>
      <c r="N114" s="17"/>
      <c r="O114" s="17">
        <v>-15000</v>
      </c>
      <c r="P114" s="17">
        <v>56100</v>
      </c>
      <c r="Q114" s="17">
        <f>60000+15000</f>
        <v>75000</v>
      </c>
      <c r="R114" s="17"/>
      <c r="S114" s="17">
        <v>60000</v>
      </c>
      <c r="T114" s="17"/>
      <c r="U114" s="17"/>
      <c r="V114" s="17">
        <f t="shared" si="18"/>
        <v>0</v>
      </c>
      <c r="W114" s="17"/>
    </row>
    <row r="115" spans="1:23" ht="37.5">
      <c r="A115" s="134"/>
      <c r="B115" s="134"/>
      <c r="C115" s="134"/>
      <c r="D115" s="146"/>
      <c r="E115" s="20" t="s">
        <v>203</v>
      </c>
      <c r="F115" s="68">
        <f t="shared" si="17"/>
        <v>50500</v>
      </c>
      <c r="G115" s="76">
        <v>1</v>
      </c>
      <c r="H115" s="68">
        <f t="shared" si="16"/>
        <v>50500</v>
      </c>
      <c r="I115" s="21">
        <v>50500</v>
      </c>
      <c r="J115" s="17"/>
      <c r="K115" s="17"/>
      <c r="L115" s="17"/>
      <c r="M115" s="17">
        <v>50500</v>
      </c>
      <c r="N115" s="17">
        <f>50500-50500</f>
        <v>0</v>
      </c>
      <c r="O115" s="17"/>
      <c r="P115" s="17"/>
      <c r="Q115" s="17"/>
      <c r="R115" s="17"/>
      <c r="S115" s="17"/>
      <c r="T115" s="17"/>
      <c r="U115" s="17"/>
      <c r="V115" s="17">
        <f t="shared" si="18"/>
        <v>0</v>
      </c>
      <c r="W115" s="17">
        <v>49740.71</v>
      </c>
    </row>
    <row r="116" spans="1:23" ht="42" customHeight="1">
      <c r="A116" s="134"/>
      <c r="B116" s="133"/>
      <c r="C116" s="133"/>
      <c r="D116" s="146"/>
      <c r="E116" s="20" t="s">
        <v>152</v>
      </c>
      <c r="F116" s="68">
        <f t="shared" si="17"/>
        <v>52300</v>
      </c>
      <c r="G116" s="76">
        <v>1</v>
      </c>
      <c r="H116" s="68">
        <f t="shared" si="16"/>
        <v>52300</v>
      </c>
      <c r="I116" s="21">
        <v>52300</v>
      </c>
      <c r="J116" s="17"/>
      <c r="K116" s="17"/>
      <c r="L116" s="17">
        <v>10000</v>
      </c>
      <c r="M116" s="17"/>
      <c r="N116" s="17"/>
      <c r="O116" s="17"/>
      <c r="P116" s="17">
        <v>42300</v>
      </c>
      <c r="Q116" s="17"/>
      <c r="R116" s="17"/>
      <c r="S116" s="17"/>
      <c r="T116" s="17"/>
      <c r="U116" s="17"/>
      <c r="V116" s="17">
        <f t="shared" si="18"/>
        <v>0</v>
      </c>
      <c r="W116" s="17"/>
    </row>
    <row r="117" spans="1:23" ht="37.5">
      <c r="A117" s="133"/>
      <c r="B117" s="26"/>
      <c r="C117" s="26"/>
      <c r="D117" s="135"/>
      <c r="E117" s="20" t="s">
        <v>911</v>
      </c>
      <c r="F117" s="68">
        <f t="shared" si="17"/>
        <v>180000</v>
      </c>
      <c r="G117" s="76"/>
      <c r="H117" s="68">
        <f t="shared" si="16"/>
        <v>180000</v>
      </c>
      <c r="I117" s="21">
        <f>300000-120000</f>
        <v>180000</v>
      </c>
      <c r="J117" s="17"/>
      <c r="K117" s="17"/>
      <c r="L117" s="17"/>
      <c r="M117" s="17"/>
      <c r="N117" s="17">
        <v>130000</v>
      </c>
      <c r="O117" s="17">
        <f>300000-130000-120000-50000</f>
        <v>0</v>
      </c>
      <c r="P117" s="17"/>
      <c r="Q117" s="17">
        <v>50000</v>
      </c>
      <c r="R117" s="17"/>
      <c r="S117" s="17"/>
      <c r="T117" s="17"/>
      <c r="U117" s="17"/>
      <c r="V117" s="17">
        <f>I117-J117-K117-L117-M117-N117-O117-P117-Q117-R117-S117-T117-U117</f>
        <v>0</v>
      </c>
      <c r="W117" s="17">
        <f>125998+0.6</f>
        <v>125998.6</v>
      </c>
    </row>
    <row r="118" spans="1:23" ht="18.75">
      <c r="A118" s="132" t="s">
        <v>558</v>
      </c>
      <c r="B118" s="132" t="s">
        <v>242</v>
      </c>
      <c r="C118" s="132" t="s">
        <v>682</v>
      </c>
      <c r="D118" s="145" t="s">
        <v>784</v>
      </c>
      <c r="E118" s="20"/>
      <c r="F118" s="20"/>
      <c r="G118" s="20"/>
      <c r="H118" s="20"/>
      <c r="I118" s="10">
        <f>SUM(I119:I194)</f>
        <v>38117909</v>
      </c>
      <c r="J118" s="10">
        <f aca="true" t="shared" si="19" ref="J118:W118">SUM(J119:J194)</f>
        <v>1200000</v>
      </c>
      <c r="K118" s="10">
        <f t="shared" si="19"/>
        <v>-500000</v>
      </c>
      <c r="L118" s="10">
        <f t="shared" si="19"/>
        <v>1909385</v>
      </c>
      <c r="M118" s="10">
        <f t="shared" si="19"/>
        <v>1236000</v>
      </c>
      <c r="N118" s="10">
        <f t="shared" si="19"/>
        <v>-917117.0700000001</v>
      </c>
      <c r="O118" s="10">
        <f t="shared" si="19"/>
        <v>1579181.37</v>
      </c>
      <c r="P118" s="10">
        <f t="shared" si="19"/>
        <v>3543871.76</v>
      </c>
      <c r="Q118" s="10">
        <f t="shared" si="19"/>
        <v>5234633.47</v>
      </c>
      <c r="R118" s="10">
        <f t="shared" si="19"/>
        <v>6276459</v>
      </c>
      <c r="S118" s="10">
        <f t="shared" si="19"/>
        <v>3275000</v>
      </c>
      <c r="T118" s="10">
        <f t="shared" si="19"/>
        <v>4781285.16</v>
      </c>
      <c r="U118" s="10">
        <f t="shared" si="19"/>
        <v>10499210.31</v>
      </c>
      <c r="V118" s="10">
        <f t="shared" si="19"/>
        <v>0</v>
      </c>
      <c r="W118" s="10">
        <f t="shared" si="19"/>
        <v>3950590.13</v>
      </c>
    </row>
    <row r="119" spans="1:23" ht="93.75">
      <c r="A119" s="134"/>
      <c r="B119" s="134"/>
      <c r="C119" s="134"/>
      <c r="D119" s="146"/>
      <c r="E119" s="22" t="s">
        <v>1092</v>
      </c>
      <c r="F119" s="22"/>
      <c r="G119" s="22"/>
      <c r="H119" s="22"/>
      <c r="I119" s="21">
        <f>2500000-125000-202441</f>
        <v>2172559</v>
      </c>
      <c r="J119" s="17"/>
      <c r="K119" s="17"/>
      <c r="L119" s="17"/>
      <c r="M119" s="17"/>
      <c r="N119" s="17"/>
      <c r="O119" s="17"/>
      <c r="P119" s="17"/>
      <c r="Q119" s="17"/>
      <c r="R119" s="21">
        <f>2500000-125000-202441</f>
        <v>2172559</v>
      </c>
      <c r="S119" s="17"/>
      <c r="T119" s="17"/>
      <c r="U119" s="17"/>
      <c r="V119" s="17">
        <f t="shared" si="18"/>
        <v>0</v>
      </c>
      <c r="W119" s="17"/>
    </row>
    <row r="120" spans="1:23" ht="93.75">
      <c r="A120" s="134"/>
      <c r="B120" s="134"/>
      <c r="C120" s="134"/>
      <c r="D120" s="146"/>
      <c r="E120" s="22" t="s">
        <v>198</v>
      </c>
      <c r="F120" s="22"/>
      <c r="G120" s="22"/>
      <c r="H120" s="22"/>
      <c r="I120" s="21">
        <f>200000-69000</f>
        <v>131000</v>
      </c>
      <c r="J120" s="17"/>
      <c r="K120" s="17"/>
      <c r="L120" s="17"/>
      <c r="M120" s="17"/>
      <c r="N120" s="17"/>
      <c r="O120" s="17"/>
      <c r="P120" s="17"/>
      <c r="Q120" s="17"/>
      <c r="R120" s="21">
        <f>200000-69000</f>
        <v>131000</v>
      </c>
      <c r="S120" s="17"/>
      <c r="T120" s="17"/>
      <c r="U120" s="17"/>
      <c r="V120" s="17">
        <f t="shared" si="18"/>
        <v>0</v>
      </c>
      <c r="W120" s="17"/>
    </row>
    <row r="121" spans="1:23" ht="75">
      <c r="A121" s="134"/>
      <c r="B121" s="134"/>
      <c r="C121" s="134"/>
      <c r="D121" s="146"/>
      <c r="E121" s="22" t="s">
        <v>135</v>
      </c>
      <c r="F121" s="22"/>
      <c r="G121" s="22"/>
      <c r="H121" s="22"/>
      <c r="I121" s="21">
        <f>80000+69000</f>
        <v>149000</v>
      </c>
      <c r="J121" s="17"/>
      <c r="K121" s="17"/>
      <c r="L121" s="17"/>
      <c r="M121" s="17"/>
      <c r="N121" s="17"/>
      <c r="O121" s="17"/>
      <c r="P121" s="17"/>
      <c r="Q121" s="17"/>
      <c r="R121" s="21">
        <f>80000+69000</f>
        <v>149000</v>
      </c>
      <c r="S121" s="17"/>
      <c r="T121" s="17"/>
      <c r="U121" s="17"/>
      <c r="V121" s="17">
        <f t="shared" si="18"/>
        <v>0</v>
      </c>
      <c r="W121" s="17"/>
    </row>
    <row r="122" spans="1:23" ht="112.5">
      <c r="A122" s="134"/>
      <c r="B122" s="134"/>
      <c r="C122" s="134"/>
      <c r="D122" s="146"/>
      <c r="E122" s="22" t="s">
        <v>957</v>
      </c>
      <c r="F122" s="22"/>
      <c r="G122" s="22"/>
      <c r="H122" s="22"/>
      <c r="I122" s="21">
        <v>9400</v>
      </c>
      <c r="J122" s="17"/>
      <c r="K122" s="17"/>
      <c r="L122" s="17"/>
      <c r="M122" s="17"/>
      <c r="N122" s="17"/>
      <c r="O122" s="17">
        <v>9400</v>
      </c>
      <c r="P122" s="17"/>
      <c r="Q122" s="17"/>
      <c r="R122" s="21"/>
      <c r="S122" s="17"/>
      <c r="T122" s="17"/>
      <c r="U122" s="17"/>
      <c r="V122" s="17">
        <f t="shared" si="18"/>
        <v>0</v>
      </c>
      <c r="W122" s="17">
        <v>9400</v>
      </c>
    </row>
    <row r="123" spans="1:23" ht="78.75" customHeight="1">
      <c r="A123" s="134"/>
      <c r="B123" s="134"/>
      <c r="C123" s="134"/>
      <c r="D123" s="146"/>
      <c r="E123" s="22" t="s">
        <v>199</v>
      </c>
      <c r="F123" s="22"/>
      <c r="G123" s="22"/>
      <c r="H123" s="22"/>
      <c r="I123" s="21">
        <v>500000</v>
      </c>
      <c r="J123" s="17"/>
      <c r="K123" s="17"/>
      <c r="L123" s="17"/>
      <c r="M123" s="17"/>
      <c r="N123" s="17"/>
      <c r="O123" s="17"/>
      <c r="P123" s="17"/>
      <c r="Q123" s="17"/>
      <c r="R123" s="21">
        <v>500000</v>
      </c>
      <c r="S123" s="17"/>
      <c r="T123" s="17"/>
      <c r="U123" s="17"/>
      <c r="V123" s="17">
        <f t="shared" si="18"/>
        <v>0</v>
      </c>
      <c r="W123" s="17"/>
    </row>
    <row r="124" spans="1:23" ht="37.5">
      <c r="A124" s="134"/>
      <c r="B124" s="134"/>
      <c r="C124" s="134"/>
      <c r="D124" s="146"/>
      <c r="E124" s="22" t="s">
        <v>315</v>
      </c>
      <c r="F124" s="22"/>
      <c r="G124" s="22"/>
      <c r="H124" s="22"/>
      <c r="I124" s="21">
        <v>100000</v>
      </c>
      <c r="J124" s="17"/>
      <c r="K124" s="17"/>
      <c r="L124" s="17"/>
      <c r="M124" s="17"/>
      <c r="N124" s="17"/>
      <c r="O124" s="17">
        <v>100000</v>
      </c>
      <c r="P124" s="17"/>
      <c r="Q124" s="17"/>
      <c r="R124" s="21">
        <f>100000-100000</f>
        <v>0</v>
      </c>
      <c r="S124" s="17"/>
      <c r="T124" s="17"/>
      <c r="U124" s="17"/>
      <c r="V124" s="17">
        <f t="shared" si="18"/>
        <v>0</v>
      </c>
      <c r="W124" s="17">
        <v>99996</v>
      </c>
    </row>
    <row r="125" spans="1:23" ht="112.5">
      <c r="A125" s="134"/>
      <c r="B125" s="134"/>
      <c r="C125" s="134"/>
      <c r="D125" s="146"/>
      <c r="E125" s="22" t="s">
        <v>566</v>
      </c>
      <c r="F125" s="22"/>
      <c r="G125" s="22"/>
      <c r="H125" s="22"/>
      <c r="I125" s="21">
        <v>255000</v>
      </c>
      <c r="J125" s="17"/>
      <c r="K125" s="17"/>
      <c r="L125" s="17"/>
      <c r="M125" s="17"/>
      <c r="N125" s="17"/>
      <c r="O125" s="17"/>
      <c r="P125" s="17"/>
      <c r="Q125" s="17"/>
      <c r="R125" s="21">
        <v>255000</v>
      </c>
      <c r="S125" s="17"/>
      <c r="T125" s="17"/>
      <c r="U125" s="17"/>
      <c r="V125" s="17">
        <f t="shared" si="18"/>
        <v>0</v>
      </c>
      <c r="W125" s="17"/>
    </row>
    <row r="126" spans="1:23" ht="22.5" customHeight="1" hidden="1">
      <c r="A126" s="134"/>
      <c r="B126" s="134"/>
      <c r="C126" s="134"/>
      <c r="D126" s="146"/>
      <c r="E126" s="22" t="s">
        <v>567</v>
      </c>
      <c r="F126" s="22"/>
      <c r="G126" s="22"/>
      <c r="H126" s="22"/>
      <c r="I126" s="21">
        <f>50000-50000</f>
        <v>0</v>
      </c>
      <c r="J126" s="17"/>
      <c r="K126" s="17"/>
      <c r="L126" s="17"/>
      <c r="M126" s="17"/>
      <c r="N126" s="17"/>
      <c r="O126" s="17"/>
      <c r="P126" s="17"/>
      <c r="Q126" s="17"/>
      <c r="R126" s="21">
        <f>50000-50000</f>
        <v>0</v>
      </c>
      <c r="S126" s="17"/>
      <c r="T126" s="17"/>
      <c r="U126" s="17"/>
      <c r="V126" s="17">
        <f t="shared" si="18"/>
        <v>0</v>
      </c>
      <c r="W126" s="17"/>
    </row>
    <row r="127" spans="1:23" ht="112.5">
      <c r="A127" s="134"/>
      <c r="B127" s="134"/>
      <c r="C127" s="134"/>
      <c r="D127" s="146"/>
      <c r="E127" s="22" t="s">
        <v>625</v>
      </c>
      <c r="F127" s="22"/>
      <c r="G127" s="22"/>
      <c r="H127" s="22"/>
      <c r="I127" s="21">
        <v>220000</v>
      </c>
      <c r="J127" s="17"/>
      <c r="K127" s="17"/>
      <c r="L127" s="17"/>
      <c r="M127" s="17"/>
      <c r="N127" s="17"/>
      <c r="O127" s="17"/>
      <c r="P127" s="17"/>
      <c r="Q127" s="17"/>
      <c r="R127" s="21">
        <v>220000</v>
      </c>
      <c r="S127" s="17"/>
      <c r="T127" s="17"/>
      <c r="U127" s="17"/>
      <c r="V127" s="17">
        <f t="shared" si="18"/>
        <v>0</v>
      </c>
      <c r="W127" s="17"/>
    </row>
    <row r="128" spans="1:23" ht="115.5" customHeight="1">
      <c r="A128" s="134"/>
      <c r="B128" s="134"/>
      <c r="C128" s="134"/>
      <c r="D128" s="146"/>
      <c r="E128" s="22" t="s">
        <v>626</v>
      </c>
      <c r="F128" s="22"/>
      <c r="G128" s="22"/>
      <c r="H128" s="22"/>
      <c r="I128" s="21">
        <v>270000</v>
      </c>
      <c r="J128" s="17"/>
      <c r="K128" s="17"/>
      <c r="L128" s="17"/>
      <c r="M128" s="17"/>
      <c r="N128" s="17"/>
      <c r="O128" s="17"/>
      <c r="P128" s="17"/>
      <c r="Q128" s="17"/>
      <c r="R128" s="21">
        <v>270000</v>
      </c>
      <c r="S128" s="17"/>
      <c r="T128" s="17"/>
      <c r="U128" s="17"/>
      <c r="V128" s="17">
        <f t="shared" si="18"/>
        <v>0</v>
      </c>
      <c r="W128" s="17"/>
    </row>
    <row r="129" spans="1:23" ht="23.25" customHeight="1" hidden="1">
      <c r="A129" s="134"/>
      <c r="B129" s="134"/>
      <c r="C129" s="134"/>
      <c r="D129" s="146"/>
      <c r="E129" s="22" t="s">
        <v>592</v>
      </c>
      <c r="F129" s="22"/>
      <c r="G129" s="22"/>
      <c r="H129" s="22"/>
      <c r="I129" s="21">
        <f>200000-200000</f>
        <v>0</v>
      </c>
      <c r="J129" s="17"/>
      <c r="K129" s="17"/>
      <c r="L129" s="17"/>
      <c r="M129" s="17"/>
      <c r="N129" s="17"/>
      <c r="O129" s="17"/>
      <c r="P129" s="17"/>
      <c r="Q129" s="17"/>
      <c r="R129" s="21">
        <f>200000-200000</f>
        <v>0</v>
      </c>
      <c r="S129" s="17"/>
      <c r="T129" s="17"/>
      <c r="U129" s="17"/>
      <c r="V129" s="17">
        <f t="shared" si="18"/>
        <v>0</v>
      </c>
      <c r="W129" s="17"/>
    </row>
    <row r="130" spans="1:23" ht="112.5">
      <c r="A130" s="134"/>
      <c r="B130" s="134"/>
      <c r="C130" s="134"/>
      <c r="D130" s="146"/>
      <c r="E130" s="22" t="s">
        <v>722</v>
      </c>
      <c r="F130" s="22"/>
      <c r="G130" s="22"/>
      <c r="H130" s="22"/>
      <c r="I130" s="21">
        <v>650000</v>
      </c>
      <c r="J130" s="17"/>
      <c r="K130" s="17"/>
      <c r="L130" s="17"/>
      <c r="M130" s="17"/>
      <c r="N130" s="17"/>
      <c r="O130" s="17"/>
      <c r="P130" s="17"/>
      <c r="Q130" s="17"/>
      <c r="R130" s="21">
        <v>650000</v>
      </c>
      <c r="S130" s="17"/>
      <c r="T130" s="17"/>
      <c r="U130" s="17"/>
      <c r="V130" s="17">
        <f t="shared" si="18"/>
        <v>0</v>
      </c>
      <c r="W130" s="17"/>
    </row>
    <row r="131" spans="1:23" ht="62.25" customHeight="1">
      <c r="A131" s="134"/>
      <c r="B131" s="134"/>
      <c r="C131" s="134"/>
      <c r="D131" s="146"/>
      <c r="E131" s="22" t="s">
        <v>723</v>
      </c>
      <c r="F131" s="22"/>
      <c r="G131" s="22"/>
      <c r="H131" s="22"/>
      <c r="I131" s="21">
        <v>220000</v>
      </c>
      <c r="J131" s="17"/>
      <c r="K131" s="17"/>
      <c r="L131" s="17"/>
      <c r="M131" s="17"/>
      <c r="N131" s="17"/>
      <c r="O131" s="17"/>
      <c r="P131" s="17"/>
      <c r="Q131" s="17"/>
      <c r="R131" s="21">
        <v>220000</v>
      </c>
      <c r="S131" s="17"/>
      <c r="T131" s="17"/>
      <c r="U131" s="17"/>
      <c r="V131" s="17">
        <f t="shared" si="18"/>
        <v>0</v>
      </c>
      <c r="W131" s="17"/>
    </row>
    <row r="132" spans="1:23" ht="81" customHeight="1">
      <c r="A132" s="134"/>
      <c r="B132" s="134"/>
      <c r="C132" s="134"/>
      <c r="D132" s="146"/>
      <c r="E132" s="22" t="s">
        <v>146</v>
      </c>
      <c r="F132" s="22"/>
      <c r="G132" s="22"/>
      <c r="H132" s="22"/>
      <c r="I132" s="21">
        <f>500000+50000</f>
        <v>550000</v>
      </c>
      <c r="J132" s="17"/>
      <c r="K132" s="17"/>
      <c r="L132" s="17"/>
      <c r="M132" s="17"/>
      <c r="N132" s="17"/>
      <c r="O132" s="17"/>
      <c r="P132" s="17"/>
      <c r="Q132" s="17"/>
      <c r="R132" s="21">
        <f>500000+50000</f>
        <v>550000</v>
      </c>
      <c r="S132" s="17"/>
      <c r="T132" s="17"/>
      <c r="U132" s="17"/>
      <c r="V132" s="17">
        <f t="shared" si="18"/>
        <v>0</v>
      </c>
      <c r="W132" s="17"/>
    </row>
    <row r="133" spans="1:23" ht="56.25">
      <c r="A133" s="134"/>
      <c r="B133" s="134"/>
      <c r="C133" s="134"/>
      <c r="D133" s="146"/>
      <c r="E133" s="22" t="s">
        <v>905</v>
      </c>
      <c r="F133" s="22"/>
      <c r="G133" s="22"/>
      <c r="H133" s="22"/>
      <c r="I133" s="21">
        <v>40000</v>
      </c>
      <c r="J133" s="17"/>
      <c r="K133" s="17"/>
      <c r="L133" s="17"/>
      <c r="M133" s="17"/>
      <c r="N133" s="17"/>
      <c r="O133" s="17"/>
      <c r="P133" s="17"/>
      <c r="Q133" s="17"/>
      <c r="R133" s="21">
        <v>40000</v>
      </c>
      <c r="S133" s="17"/>
      <c r="T133" s="17"/>
      <c r="U133" s="17"/>
      <c r="V133" s="17">
        <f t="shared" si="18"/>
        <v>0</v>
      </c>
      <c r="W133" s="17"/>
    </row>
    <row r="134" spans="1:23" ht="86.25" customHeight="1">
      <c r="A134" s="134"/>
      <c r="B134" s="134"/>
      <c r="C134" s="134"/>
      <c r="D134" s="146"/>
      <c r="E134" s="22" t="s">
        <v>690</v>
      </c>
      <c r="F134" s="22"/>
      <c r="G134" s="22"/>
      <c r="H134" s="22"/>
      <c r="I134" s="21">
        <f>600000-50000</f>
        <v>550000</v>
      </c>
      <c r="J134" s="17"/>
      <c r="K134" s="17"/>
      <c r="L134" s="17"/>
      <c r="M134" s="17"/>
      <c r="N134" s="17"/>
      <c r="O134" s="17"/>
      <c r="P134" s="17"/>
      <c r="Q134" s="17"/>
      <c r="R134" s="21">
        <f>600000-50000</f>
        <v>550000</v>
      </c>
      <c r="S134" s="17"/>
      <c r="T134" s="17"/>
      <c r="U134" s="17"/>
      <c r="V134" s="17">
        <f t="shared" si="18"/>
        <v>0</v>
      </c>
      <c r="W134" s="17"/>
    </row>
    <row r="135" spans="1:23" ht="56.25">
      <c r="A135" s="134"/>
      <c r="B135" s="134"/>
      <c r="C135" s="134"/>
      <c r="D135" s="146"/>
      <c r="E135" s="22" t="s">
        <v>865</v>
      </c>
      <c r="F135" s="22"/>
      <c r="G135" s="22"/>
      <c r="H135" s="22"/>
      <c r="I135" s="21">
        <v>30000</v>
      </c>
      <c r="J135" s="17"/>
      <c r="K135" s="17"/>
      <c r="L135" s="17"/>
      <c r="M135" s="17"/>
      <c r="N135" s="17"/>
      <c r="O135" s="17"/>
      <c r="P135" s="17"/>
      <c r="Q135" s="17"/>
      <c r="R135" s="21">
        <v>30000</v>
      </c>
      <c r="S135" s="17"/>
      <c r="T135" s="17"/>
      <c r="U135" s="17"/>
      <c r="V135" s="17">
        <f t="shared" si="18"/>
        <v>0</v>
      </c>
      <c r="W135" s="17"/>
    </row>
    <row r="136" spans="1:23" ht="119.25" customHeight="1">
      <c r="A136" s="134"/>
      <c r="B136" s="134"/>
      <c r="C136" s="134"/>
      <c r="D136" s="146"/>
      <c r="E136" s="22" t="s">
        <v>667</v>
      </c>
      <c r="F136" s="22"/>
      <c r="G136" s="22"/>
      <c r="H136" s="22"/>
      <c r="I136" s="21">
        <v>100000</v>
      </c>
      <c r="J136" s="17"/>
      <c r="K136" s="17"/>
      <c r="L136" s="17"/>
      <c r="M136" s="17"/>
      <c r="N136" s="17"/>
      <c r="O136" s="17"/>
      <c r="P136" s="17"/>
      <c r="Q136" s="17"/>
      <c r="R136" s="21">
        <v>100000</v>
      </c>
      <c r="S136" s="17"/>
      <c r="T136" s="17"/>
      <c r="U136" s="17"/>
      <c r="V136" s="17">
        <f t="shared" si="18"/>
        <v>0</v>
      </c>
      <c r="W136" s="17"/>
    </row>
    <row r="137" spans="1:23" ht="56.25">
      <c r="A137" s="134"/>
      <c r="B137" s="134"/>
      <c r="C137" s="134"/>
      <c r="D137" s="146"/>
      <c r="E137" s="22" t="s">
        <v>866</v>
      </c>
      <c r="F137" s="22"/>
      <c r="G137" s="22"/>
      <c r="H137" s="22"/>
      <c r="I137" s="21">
        <v>60000</v>
      </c>
      <c r="J137" s="17"/>
      <c r="K137" s="17"/>
      <c r="L137" s="17"/>
      <c r="M137" s="17"/>
      <c r="N137" s="17"/>
      <c r="O137" s="17"/>
      <c r="P137" s="21">
        <v>60000</v>
      </c>
      <c r="Q137" s="17"/>
      <c r="R137" s="17"/>
      <c r="S137" s="17"/>
      <c r="T137" s="17"/>
      <c r="U137" s="17"/>
      <c r="V137" s="17">
        <f t="shared" si="18"/>
        <v>0</v>
      </c>
      <c r="W137" s="17"/>
    </row>
    <row r="138" spans="1:23" ht="56.25">
      <c r="A138" s="134"/>
      <c r="B138" s="134"/>
      <c r="C138" s="134"/>
      <c r="D138" s="146"/>
      <c r="E138" s="22" t="s">
        <v>867</v>
      </c>
      <c r="F138" s="22"/>
      <c r="G138" s="22"/>
      <c r="H138" s="22"/>
      <c r="I138" s="21">
        <v>320000</v>
      </c>
      <c r="J138" s="17"/>
      <c r="K138" s="17"/>
      <c r="L138" s="17"/>
      <c r="M138" s="17"/>
      <c r="N138" s="17"/>
      <c r="O138" s="17"/>
      <c r="P138" s="21">
        <v>320000</v>
      </c>
      <c r="Q138" s="17"/>
      <c r="R138" s="17"/>
      <c r="S138" s="17"/>
      <c r="T138" s="17"/>
      <c r="U138" s="17"/>
      <c r="V138" s="17">
        <f t="shared" si="18"/>
        <v>0</v>
      </c>
      <c r="W138" s="17"/>
    </row>
    <row r="139" spans="1:23" ht="56.25">
      <c r="A139" s="134"/>
      <c r="B139" s="134"/>
      <c r="C139" s="134"/>
      <c r="D139" s="146"/>
      <c r="E139" s="22" t="s">
        <v>541</v>
      </c>
      <c r="F139" s="22"/>
      <c r="G139" s="22"/>
      <c r="H139" s="22"/>
      <c r="I139" s="21">
        <v>60000</v>
      </c>
      <c r="J139" s="17"/>
      <c r="K139" s="17"/>
      <c r="L139" s="17"/>
      <c r="M139" s="17"/>
      <c r="N139" s="17"/>
      <c r="O139" s="17"/>
      <c r="P139" s="17"/>
      <c r="Q139" s="17"/>
      <c r="R139" s="21">
        <v>60000</v>
      </c>
      <c r="S139" s="17"/>
      <c r="T139" s="17"/>
      <c r="U139" s="17"/>
      <c r="V139" s="17">
        <f t="shared" si="18"/>
        <v>0</v>
      </c>
      <c r="W139" s="17"/>
    </row>
    <row r="140" spans="1:23" ht="43.5" customHeight="1">
      <c r="A140" s="134"/>
      <c r="B140" s="134"/>
      <c r="C140" s="134"/>
      <c r="D140" s="146"/>
      <c r="E140" s="22" t="s">
        <v>542</v>
      </c>
      <c r="F140" s="68">
        <f>I140</f>
        <v>500000</v>
      </c>
      <c r="G140" s="76">
        <v>1</v>
      </c>
      <c r="H140" s="68">
        <f>I140</f>
        <v>500000</v>
      </c>
      <c r="I140" s="21">
        <v>500000</v>
      </c>
      <c r="J140" s="17"/>
      <c r="K140" s="17"/>
      <c r="L140" s="17"/>
      <c r="M140" s="17"/>
      <c r="N140" s="17"/>
      <c r="O140" s="17"/>
      <c r="P140" s="17">
        <v>250000</v>
      </c>
      <c r="Q140" s="17"/>
      <c r="R140" s="17"/>
      <c r="S140" s="17">
        <v>50000</v>
      </c>
      <c r="T140" s="17"/>
      <c r="U140" s="17">
        <v>200000</v>
      </c>
      <c r="V140" s="17">
        <f aca="true" t="shared" si="20" ref="V140:V213">I140-J140-K140-L140-M140-N140-O140-P140-Q140-R140-S140-T140-U140</f>
        <v>0</v>
      </c>
      <c r="W140" s="17"/>
    </row>
    <row r="141" spans="1:23" ht="82.5" customHeight="1">
      <c r="A141" s="134"/>
      <c r="B141" s="134"/>
      <c r="C141" s="134"/>
      <c r="D141" s="146"/>
      <c r="E141" s="22" t="s">
        <v>555</v>
      </c>
      <c r="F141" s="68">
        <f aca="true" t="shared" si="21" ref="F141:F194">I141</f>
        <v>195000</v>
      </c>
      <c r="G141" s="76">
        <v>1</v>
      </c>
      <c r="H141" s="68">
        <f aca="true" t="shared" si="22" ref="H141:H194">I141</f>
        <v>195000</v>
      </c>
      <c r="I141" s="21">
        <v>195000</v>
      </c>
      <c r="J141" s="17"/>
      <c r="K141" s="17"/>
      <c r="L141" s="17"/>
      <c r="M141" s="17"/>
      <c r="N141" s="17"/>
      <c r="O141" s="17">
        <f>94281.37-94000</f>
        <v>281.36999999999534</v>
      </c>
      <c r="P141" s="17"/>
      <c r="Q141" s="17"/>
      <c r="R141" s="17"/>
      <c r="S141" s="17"/>
      <c r="T141" s="17">
        <v>100718.63</v>
      </c>
      <c r="U141" s="17">
        <v>94000</v>
      </c>
      <c r="V141" s="17">
        <f t="shared" si="20"/>
        <v>0</v>
      </c>
      <c r="W141" s="17"/>
    </row>
    <row r="142" spans="1:23" ht="56.25">
      <c r="A142" s="134"/>
      <c r="B142" s="134"/>
      <c r="C142" s="134"/>
      <c r="D142" s="146"/>
      <c r="E142" s="22" t="s">
        <v>437</v>
      </c>
      <c r="F142" s="68">
        <f t="shared" si="21"/>
        <v>45700</v>
      </c>
      <c r="G142" s="76">
        <v>1</v>
      </c>
      <c r="H142" s="68">
        <f t="shared" si="22"/>
        <v>45700</v>
      </c>
      <c r="I142" s="21">
        <v>45700</v>
      </c>
      <c r="J142" s="17"/>
      <c r="K142" s="17"/>
      <c r="L142" s="17">
        <v>45700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>
        <f t="shared" si="20"/>
        <v>0</v>
      </c>
      <c r="W142" s="17">
        <v>43978</v>
      </c>
    </row>
    <row r="143" spans="1:23" ht="56.25">
      <c r="A143" s="134"/>
      <c r="B143" s="134"/>
      <c r="C143" s="134"/>
      <c r="D143" s="146"/>
      <c r="E143" s="22" t="s">
        <v>910</v>
      </c>
      <c r="F143" s="68"/>
      <c r="G143" s="76"/>
      <c r="H143" s="68"/>
      <c r="I143" s="21">
        <v>410000</v>
      </c>
      <c r="J143" s="17"/>
      <c r="K143" s="17"/>
      <c r="L143" s="17"/>
      <c r="M143" s="17"/>
      <c r="N143" s="17"/>
      <c r="O143" s="17">
        <f>410000-300000-110000</f>
        <v>0</v>
      </c>
      <c r="P143" s="17"/>
      <c r="Q143" s="17"/>
      <c r="R143" s="17"/>
      <c r="S143" s="17"/>
      <c r="T143" s="17">
        <v>300000</v>
      </c>
      <c r="U143" s="17">
        <v>110000</v>
      </c>
      <c r="V143" s="17">
        <f t="shared" si="20"/>
        <v>0</v>
      </c>
      <c r="W143" s="17"/>
    </row>
    <row r="144" spans="1:23" ht="37.5">
      <c r="A144" s="134"/>
      <c r="B144" s="134"/>
      <c r="C144" s="134"/>
      <c r="D144" s="146"/>
      <c r="E144" s="22" t="s">
        <v>594</v>
      </c>
      <c r="F144" s="68">
        <f t="shared" si="21"/>
        <v>1000000</v>
      </c>
      <c r="G144" s="76">
        <v>1</v>
      </c>
      <c r="H144" s="68">
        <f t="shared" si="22"/>
        <v>1000000</v>
      </c>
      <c r="I144" s="21">
        <v>1000000</v>
      </c>
      <c r="J144" s="17"/>
      <c r="K144" s="17"/>
      <c r="L144" s="17"/>
      <c r="M144" s="17"/>
      <c r="N144" s="17"/>
      <c r="O144" s="17"/>
      <c r="P144" s="17">
        <v>250000</v>
      </c>
      <c r="Q144" s="17">
        <v>150000</v>
      </c>
      <c r="R144" s="17"/>
      <c r="S144" s="17"/>
      <c r="T144" s="17">
        <v>600000</v>
      </c>
      <c r="U144" s="17"/>
      <c r="V144" s="17">
        <f t="shared" si="20"/>
        <v>0</v>
      </c>
      <c r="W144" s="17"/>
    </row>
    <row r="145" spans="1:23" ht="56.25">
      <c r="A145" s="134"/>
      <c r="B145" s="134"/>
      <c r="C145" s="134"/>
      <c r="D145" s="146"/>
      <c r="E145" s="22" t="s">
        <v>595</v>
      </c>
      <c r="F145" s="68">
        <f t="shared" si="21"/>
        <v>155500</v>
      </c>
      <c r="G145" s="76">
        <v>1</v>
      </c>
      <c r="H145" s="68">
        <f t="shared" si="22"/>
        <v>155500</v>
      </c>
      <c r="I145" s="21">
        <v>155500</v>
      </c>
      <c r="J145" s="17"/>
      <c r="K145" s="17"/>
      <c r="L145" s="17"/>
      <c r="M145" s="17"/>
      <c r="N145" s="17">
        <f>90000-61000</f>
        <v>29000</v>
      </c>
      <c r="O145" s="17">
        <v>-29000</v>
      </c>
      <c r="P145" s="17">
        <v>65500</v>
      </c>
      <c r="Q145" s="17"/>
      <c r="R145" s="17"/>
      <c r="S145" s="17">
        <v>45000</v>
      </c>
      <c r="T145" s="17">
        <v>16000</v>
      </c>
      <c r="U145" s="17">
        <v>29000</v>
      </c>
      <c r="V145" s="17">
        <f t="shared" si="20"/>
        <v>0</v>
      </c>
      <c r="W145" s="17"/>
    </row>
    <row r="146" spans="1:23" ht="20.25" customHeight="1">
      <c r="A146" s="134"/>
      <c r="B146" s="134"/>
      <c r="C146" s="134"/>
      <c r="D146" s="146"/>
      <c r="E146" s="22" t="s">
        <v>596</v>
      </c>
      <c r="F146" s="68">
        <f t="shared" si="21"/>
        <v>500000</v>
      </c>
      <c r="G146" s="76">
        <v>1</v>
      </c>
      <c r="H146" s="68">
        <f t="shared" si="22"/>
        <v>500000</v>
      </c>
      <c r="I146" s="21">
        <v>500000</v>
      </c>
      <c r="J146" s="17"/>
      <c r="K146" s="17"/>
      <c r="L146" s="17">
        <v>25000</v>
      </c>
      <c r="M146" s="17"/>
      <c r="N146" s="17">
        <v>335000</v>
      </c>
      <c r="O146" s="17">
        <f>173495.31-170000-20000</f>
        <v>-16504.690000000002</v>
      </c>
      <c r="P146" s="17">
        <f>66504.69-60000</f>
        <v>6504.690000000002</v>
      </c>
      <c r="Q146" s="17">
        <v>75000</v>
      </c>
      <c r="R146" s="17"/>
      <c r="S146" s="17">
        <f>160000-113000</f>
        <v>47000</v>
      </c>
      <c r="T146" s="17">
        <v>7000</v>
      </c>
      <c r="U146" s="17">
        <f>1000+20000</f>
        <v>21000</v>
      </c>
      <c r="V146" s="17">
        <f t="shared" si="20"/>
        <v>0</v>
      </c>
      <c r="W146" s="17">
        <f>342539.96</f>
        <v>342539.96</v>
      </c>
    </row>
    <row r="147" spans="1:23" ht="56.25">
      <c r="A147" s="134"/>
      <c r="B147" s="134"/>
      <c r="C147" s="134"/>
      <c r="D147" s="146"/>
      <c r="E147" s="22" t="s">
        <v>597</v>
      </c>
      <c r="F147" s="68">
        <f t="shared" si="21"/>
        <v>123800</v>
      </c>
      <c r="G147" s="76">
        <v>1</v>
      </c>
      <c r="H147" s="68">
        <f t="shared" si="22"/>
        <v>123800</v>
      </c>
      <c r="I147" s="21">
        <v>123800</v>
      </c>
      <c r="J147" s="17"/>
      <c r="K147" s="17"/>
      <c r="L147" s="17"/>
      <c r="M147" s="17"/>
      <c r="N147" s="17"/>
      <c r="O147" s="17">
        <v>63800</v>
      </c>
      <c r="P147" s="17"/>
      <c r="Q147" s="17"/>
      <c r="R147" s="17"/>
      <c r="S147" s="17">
        <v>60000</v>
      </c>
      <c r="T147" s="17"/>
      <c r="U147" s="17"/>
      <c r="V147" s="17">
        <f t="shared" si="20"/>
        <v>0</v>
      </c>
      <c r="W147" s="17">
        <f>61887.5</f>
        <v>61887.5</v>
      </c>
    </row>
    <row r="148" spans="1:23" ht="37.5">
      <c r="A148" s="134"/>
      <c r="B148" s="134"/>
      <c r="C148" s="134"/>
      <c r="D148" s="146"/>
      <c r="E148" s="22" t="s">
        <v>124</v>
      </c>
      <c r="F148" s="68">
        <f t="shared" si="21"/>
        <v>1500000</v>
      </c>
      <c r="G148" s="76">
        <v>1</v>
      </c>
      <c r="H148" s="68">
        <f t="shared" si="22"/>
        <v>1500000</v>
      </c>
      <c r="I148" s="21">
        <f>1000000+500000</f>
        <v>1500000</v>
      </c>
      <c r="J148" s="17"/>
      <c r="K148" s="17"/>
      <c r="L148" s="17">
        <v>25000</v>
      </c>
      <c r="M148" s="17"/>
      <c r="N148" s="17"/>
      <c r="O148" s="17">
        <f>47104.69-72000</f>
        <v>-24895.309999999998</v>
      </c>
      <c r="P148" s="17"/>
      <c r="Q148" s="17">
        <v>300000</v>
      </c>
      <c r="R148" s="17"/>
      <c r="S148" s="17">
        <v>275000</v>
      </c>
      <c r="T148" s="17">
        <v>100000</v>
      </c>
      <c r="U148" s="17">
        <f>752895.31+72000</f>
        <v>824895.31</v>
      </c>
      <c r="V148" s="17">
        <f t="shared" si="20"/>
        <v>0</v>
      </c>
      <c r="W148" s="17"/>
    </row>
    <row r="149" spans="1:23" ht="41.25" customHeight="1">
      <c r="A149" s="134"/>
      <c r="B149" s="134"/>
      <c r="C149" s="134"/>
      <c r="D149" s="146"/>
      <c r="E149" s="22" t="s">
        <v>125</v>
      </c>
      <c r="F149" s="68">
        <f t="shared" si="21"/>
        <v>250000</v>
      </c>
      <c r="G149" s="76">
        <v>1</v>
      </c>
      <c r="H149" s="68">
        <f t="shared" si="22"/>
        <v>250000</v>
      </c>
      <c r="I149" s="21">
        <v>250000</v>
      </c>
      <c r="J149" s="17"/>
      <c r="K149" s="17"/>
      <c r="L149" s="17">
        <v>20000</v>
      </c>
      <c r="M149" s="17"/>
      <c r="N149" s="17"/>
      <c r="O149" s="17">
        <f>160000-90000</f>
        <v>70000</v>
      </c>
      <c r="P149" s="17"/>
      <c r="Q149" s="17">
        <v>90000</v>
      </c>
      <c r="R149" s="17"/>
      <c r="S149" s="17">
        <v>70000</v>
      </c>
      <c r="T149" s="17"/>
      <c r="U149" s="17"/>
      <c r="V149" s="17">
        <f t="shared" si="20"/>
        <v>0</v>
      </c>
      <c r="W149" s="17">
        <v>89463</v>
      </c>
    </row>
    <row r="150" spans="1:23" ht="37.5">
      <c r="A150" s="134"/>
      <c r="B150" s="134"/>
      <c r="C150" s="134"/>
      <c r="D150" s="146"/>
      <c r="E150" s="22" t="s">
        <v>126</v>
      </c>
      <c r="F150" s="68">
        <f t="shared" si="21"/>
        <v>350000</v>
      </c>
      <c r="G150" s="76">
        <v>1</v>
      </c>
      <c r="H150" s="68">
        <f t="shared" si="22"/>
        <v>350000</v>
      </c>
      <c r="I150" s="21">
        <v>350000</v>
      </c>
      <c r="J150" s="17"/>
      <c r="K150" s="17"/>
      <c r="L150" s="17">
        <v>20000</v>
      </c>
      <c r="M150" s="17"/>
      <c r="N150" s="17"/>
      <c r="O150" s="17">
        <f>120000-140000</f>
        <v>-20000</v>
      </c>
      <c r="P150" s="17"/>
      <c r="Q150" s="17">
        <f>40000+140000</f>
        <v>180000</v>
      </c>
      <c r="R150" s="17"/>
      <c r="S150" s="17">
        <v>100000</v>
      </c>
      <c r="T150" s="17">
        <v>70000</v>
      </c>
      <c r="U150" s="17"/>
      <c r="V150" s="17">
        <f t="shared" si="20"/>
        <v>0</v>
      </c>
      <c r="W150" s="17"/>
    </row>
    <row r="151" spans="1:23" ht="100.5" customHeight="1">
      <c r="A151" s="134"/>
      <c r="B151" s="134"/>
      <c r="C151" s="134"/>
      <c r="D151" s="146"/>
      <c r="E151" s="14" t="s">
        <v>42</v>
      </c>
      <c r="F151" s="68">
        <f t="shared" si="21"/>
        <v>320000</v>
      </c>
      <c r="G151" s="76">
        <v>1</v>
      </c>
      <c r="H151" s="68">
        <f t="shared" si="22"/>
        <v>320000</v>
      </c>
      <c r="I151" s="30">
        <f>600000-280000</f>
        <v>320000</v>
      </c>
      <c r="J151" s="17">
        <v>50000</v>
      </c>
      <c r="K151" s="17"/>
      <c r="L151" s="17">
        <v>150000</v>
      </c>
      <c r="M151" s="17"/>
      <c r="N151" s="17">
        <f>400000-280000-320000</f>
        <v>-200000</v>
      </c>
      <c r="O151" s="17"/>
      <c r="P151" s="17">
        <v>134800</v>
      </c>
      <c r="Q151" s="17">
        <v>13200</v>
      </c>
      <c r="R151" s="17">
        <v>172000</v>
      </c>
      <c r="S151" s="17"/>
      <c r="T151" s="17"/>
      <c r="U151" s="17"/>
      <c r="V151" s="17">
        <f t="shared" si="20"/>
        <v>0</v>
      </c>
      <c r="W151" s="17"/>
    </row>
    <row r="152" spans="1:23" ht="56.25">
      <c r="A152" s="134"/>
      <c r="B152" s="134"/>
      <c r="C152" s="134"/>
      <c r="D152" s="146"/>
      <c r="E152" s="22" t="s">
        <v>926</v>
      </c>
      <c r="F152" s="68">
        <f t="shared" si="21"/>
        <v>500000</v>
      </c>
      <c r="G152" s="76">
        <v>1</v>
      </c>
      <c r="H152" s="68">
        <f t="shared" si="22"/>
        <v>500000</v>
      </c>
      <c r="I152" s="21">
        <v>500000</v>
      </c>
      <c r="J152" s="17"/>
      <c r="K152" s="17"/>
      <c r="L152" s="17">
        <v>15000</v>
      </c>
      <c r="M152" s="17"/>
      <c r="N152" s="17"/>
      <c r="O152" s="17">
        <v>-15000</v>
      </c>
      <c r="P152" s="17">
        <v>150000</v>
      </c>
      <c r="Q152" s="17">
        <v>115000</v>
      </c>
      <c r="R152" s="17"/>
      <c r="S152" s="17">
        <f>100000+10000</f>
        <v>110000</v>
      </c>
      <c r="T152" s="17">
        <v>120000</v>
      </c>
      <c r="U152" s="17">
        <v>5000</v>
      </c>
      <c r="V152" s="17">
        <f t="shared" si="20"/>
        <v>0</v>
      </c>
      <c r="W152" s="17"/>
    </row>
    <row r="153" spans="1:23" ht="56.25">
      <c r="A153" s="134"/>
      <c r="B153" s="134"/>
      <c r="C153" s="134"/>
      <c r="D153" s="146"/>
      <c r="E153" s="22" t="s">
        <v>94</v>
      </c>
      <c r="F153" s="68">
        <f t="shared" si="21"/>
        <v>250000</v>
      </c>
      <c r="G153" s="76"/>
      <c r="H153" s="68">
        <f t="shared" si="22"/>
        <v>250000</v>
      </c>
      <c r="I153" s="21">
        <v>250000</v>
      </c>
      <c r="J153" s="17"/>
      <c r="K153" s="17"/>
      <c r="L153" s="17"/>
      <c r="M153" s="17"/>
      <c r="N153" s="17">
        <v>190000</v>
      </c>
      <c r="O153" s="17"/>
      <c r="P153" s="17"/>
      <c r="Q153" s="17"/>
      <c r="R153" s="17"/>
      <c r="S153" s="17"/>
      <c r="T153" s="17">
        <f>250000-190000</f>
        <v>60000</v>
      </c>
      <c r="U153" s="17"/>
      <c r="V153" s="17">
        <f t="shared" si="20"/>
        <v>0</v>
      </c>
      <c r="W153" s="17">
        <f>107064.94</f>
        <v>107064.94</v>
      </c>
    </row>
    <row r="154" spans="1:23" ht="56.25">
      <c r="A154" s="134"/>
      <c r="B154" s="134"/>
      <c r="C154" s="134"/>
      <c r="D154" s="146"/>
      <c r="E154" s="22" t="s">
        <v>192</v>
      </c>
      <c r="F154" s="68">
        <f t="shared" si="21"/>
        <v>50000</v>
      </c>
      <c r="G154" s="76">
        <v>1</v>
      </c>
      <c r="H154" s="68">
        <f t="shared" si="22"/>
        <v>50000</v>
      </c>
      <c r="I154" s="21">
        <v>50000</v>
      </c>
      <c r="J154" s="17"/>
      <c r="K154" s="17"/>
      <c r="L154" s="17"/>
      <c r="M154" s="17"/>
      <c r="N154" s="17"/>
      <c r="O154" s="17">
        <v>50000</v>
      </c>
      <c r="P154" s="17"/>
      <c r="Q154" s="17"/>
      <c r="R154" s="17"/>
      <c r="S154" s="17"/>
      <c r="T154" s="17"/>
      <c r="U154" s="17"/>
      <c r="V154" s="17">
        <f t="shared" si="20"/>
        <v>0</v>
      </c>
      <c r="W154" s="17"/>
    </row>
    <row r="155" spans="1:23" ht="56.25">
      <c r="A155" s="134"/>
      <c r="B155" s="134"/>
      <c r="C155" s="134"/>
      <c r="D155" s="146"/>
      <c r="E155" s="22" t="s">
        <v>193</v>
      </c>
      <c r="F155" s="68">
        <f t="shared" si="21"/>
        <v>50000</v>
      </c>
      <c r="G155" s="76">
        <v>1</v>
      </c>
      <c r="H155" s="68">
        <f t="shared" si="22"/>
        <v>50000</v>
      </c>
      <c r="I155" s="21">
        <v>50000</v>
      </c>
      <c r="J155" s="17"/>
      <c r="K155" s="17"/>
      <c r="L155" s="17"/>
      <c r="M155" s="17"/>
      <c r="N155" s="17"/>
      <c r="O155" s="17"/>
      <c r="P155" s="17"/>
      <c r="Q155" s="17">
        <v>50000</v>
      </c>
      <c r="R155" s="17"/>
      <c r="S155" s="17"/>
      <c r="T155" s="17"/>
      <c r="U155" s="17"/>
      <c r="V155" s="17">
        <f t="shared" si="20"/>
        <v>0</v>
      </c>
      <c r="W155" s="17"/>
    </row>
    <row r="156" spans="1:23" ht="37.5">
      <c r="A156" s="134"/>
      <c r="B156" s="134"/>
      <c r="C156" s="134"/>
      <c r="D156" s="146"/>
      <c r="E156" s="22" t="s">
        <v>194</v>
      </c>
      <c r="F156" s="68">
        <f t="shared" si="21"/>
        <v>600000</v>
      </c>
      <c r="G156" s="76">
        <v>1</v>
      </c>
      <c r="H156" s="68">
        <f t="shared" si="22"/>
        <v>600000</v>
      </c>
      <c r="I156" s="21">
        <v>600000</v>
      </c>
      <c r="J156" s="17"/>
      <c r="K156" s="17"/>
      <c r="L156" s="17">
        <v>25000</v>
      </c>
      <c r="M156" s="17"/>
      <c r="N156" s="17"/>
      <c r="O156" s="17">
        <f>50000-75000</f>
        <v>-25000</v>
      </c>
      <c r="P156" s="17">
        <v>100000</v>
      </c>
      <c r="Q156" s="17">
        <v>105000</v>
      </c>
      <c r="R156" s="17"/>
      <c r="S156" s="17">
        <v>75000</v>
      </c>
      <c r="T156" s="17">
        <v>200000</v>
      </c>
      <c r="U156" s="17">
        <v>120000</v>
      </c>
      <c r="V156" s="17">
        <f t="shared" si="20"/>
        <v>0</v>
      </c>
      <c r="W156" s="17"/>
    </row>
    <row r="157" spans="1:23" ht="56.25">
      <c r="A157" s="134"/>
      <c r="B157" s="134"/>
      <c r="C157" s="134"/>
      <c r="D157" s="146"/>
      <c r="E157" s="22" t="s">
        <v>921</v>
      </c>
      <c r="F157" s="68">
        <f t="shared" si="21"/>
        <v>340000</v>
      </c>
      <c r="G157" s="76">
        <v>1</v>
      </c>
      <c r="H157" s="68">
        <f t="shared" si="22"/>
        <v>340000</v>
      </c>
      <c r="I157" s="21">
        <f>40000+300000</f>
        <v>340000</v>
      </c>
      <c r="J157" s="17"/>
      <c r="K157" s="17"/>
      <c r="L157" s="17"/>
      <c r="M157" s="17"/>
      <c r="N157" s="17"/>
      <c r="O157" s="17">
        <f>40000+20000-40000</f>
        <v>20000</v>
      </c>
      <c r="P157" s="17"/>
      <c r="Q157" s="17">
        <f>130000</f>
        <v>130000</v>
      </c>
      <c r="R157" s="17"/>
      <c r="S157" s="17">
        <f>50000+40000</f>
        <v>90000</v>
      </c>
      <c r="T157" s="17"/>
      <c r="U157" s="17">
        <f>100000</f>
        <v>100000</v>
      </c>
      <c r="V157" s="17">
        <f t="shared" si="20"/>
        <v>0</v>
      </c>
      <c r="W157" s="17"/>
    </row>
    <row r="158" spans="1:23" ht="37.5">
      <c r="A158" s="134"/>
      <c r="B158" s="134"/>
      <c r="C158" s="134"/>
      <c r="D158" s="146"/>
      <c r="E158" s="22" t="s">
        <v>922</v>
      </c>
      <c r="F158" s="68">
        <f t="shared" si="21"/>
        <v>280000</v>
      </c>
      <c r="G158" s="76">
        <v>1</v>
      </c>
      <c r="H158" s="68">
        <f t="shared" si="22"/>
        <v>280000</v>
      </c>
      <c r="I158" s="21">
        <v>280000</v>
      </c>
      <c r="J158" s="17"/>
      <c r="K158" s="17"/>
      <c r="L158" s="17">
        <v>20000</v>
      </c>
      <c r="M158" s="17"/>
      <c r="N158" s="17"/>
      <c r="O158" s="17">
        <v>-20000</v>
      </c>
      <c r="P158" s="17"/>
      <c r="Q158" s="17">
        <v>110000</v>
      </c>
      <c r="R158" s="17"/>
      <c r="S158" s="17">
        <v>50000</v>
      </c>
      <c r="T158" s="17"/>
      <c r="U158" s="17">
        <f>100000+20000</f>
        <v>120000</v>
      </c>
      <c r="V158" s="17">
        <f t="shared" si="20"/>
        <v>0</v>
      </c>
      <c r="W158" s="17"/>
    </row>
    <row r="159" spans="1:23" ht="36" hidden="1">
      <c r="A159" s="134"/>
      <c r="B159" s="134"/>
      <c r="C159" s="134"/>
      <c r="D159" s="146"/>
      <c r="E159" s="22" t="s">
        <v>923</v>
      </c>
      <c r="F159" s="68">
        <f t="shared" si="21"/>
        <v>0</v>
      </c>
      <c r="G159" s="76">
        <v>1</v>
      </c>
      <c r="H159" s="68">
        <f t="shared" si="22"/>
        <v>0</v>
      </c>
      <c r="I159" s="21">
        <f>300000-300000</f>
        <v>0</v>
      </c>
      <c r="J159" s="17"/>
      <c r="K159" s="17"/>
      <c r="L159" s="17">
        <v>20000</v>
      </c>
      <c r="M159" s="17"/>
      <c r="N159" s="17"/>
      <c r="O159" s="17">
        <v>-20000</v>
      </c>
      <c r="P159" s="17"/>
      <c r="Q159" s="17">
        <f>130000-130000</f>
        <v>0</v>
      </c>
      <c r="R159" s="17"/>
      <c r="S159" s="17">
        <f>50000-50000</f>
        <v>0</v>
      </c>
      <c r="T159" s="17"/>
      <c r="U159" s="17">
        <f>100000-100000</f>
        <v>0</v>
      </c>
      <c r="V159" s="17">
        <f>I159-J159-K159-L159-M159-N159-O159-P159-Q159-R159-S159-T159-U159</f>
        <v>0</v>
      </c>
      <c r="W159" s="17"/>
    </row>
    <row r="160" spans="1:23" ht="75">
      <c r="A160" s="134"/>
      <c r="B160" s="134"/>
      <c r="C160" s="134"/>
      <c r="D160" s="146"/>
      <c r="E160" s="22" t="s">
        <v>319</v>
      </c>
      <c r="F160" s="68"/>
      <c r="G160" s="76"/>
      <c r="H160" s="68"/>
      <c r="I160" s="21">
        <v>65550</v>
      </c>
      <c r="J160" s="17"/>
      <c r="K160" s="17"/>
      <c r="L160" s="17"/>
      <c r="M160" s="17"/>
      <c r="N160" s="17"/>
      <c r="O160" s="17">
        <v>65550</v>
      </c>
      <c r="P160" s="17"/>
      <c r="Q160" s="17"/>
      <c r="R160" s="17"/>
      <c r="S160" s="17"/>
      <c r="T160" s="17"/>
      <c r="U160" s="17"/>
      <c r="V160" s="17">
        <f>I160-J160-K160-L160-M160-N160-O160-P160-Q160-R160-S160-T160-U160</f>
        <v>0</v>
      </c>
      <c r="W160" s="17"/>
    </row>
    <row r="161" spans="1:23" ht="37.5">
      <c r="A161" s="134"/>
      <c r="B161" s="134"/>
      <c r="C161" s="134"/>
      <c r="D161" s="146"/>
      <c r="E161" s="22" t="s">
        <v>49</v>
      </c>
      <c r="F161" s="68">
        <f t="shared" si="21"/>
        <v>900000</v>
      </c>
      <c r="G161" s="76">
        <v>1</v>
      </c>
      <c r="H161" s="68">
        <f t="shared" si="22"/>
        <v>900000</v>
      </c>
      <c r="I161" s="21">
        <v>900000</v>
      </c>
      <c r="J161" s="17"/>
      <c r="K161" s="17"/>
      <c r="L161" s="17">
        <v>35000</v>
      </c>
      <c r="M161" s="17"/>
      <c r="N161" s="17"/>
      <c r="O161" s="17">
        <f>100000-135000</f>
        <v>-35000</v>
      </c>
      <c r="P161" s="17">
        <f>100000+10000</f>
        <v>110000</v>
      </c>
      <c r="Q161" s="17">
        <f>115000+30000</f>
        <v>145000</v>
      </c>
      <c r="R161" s="17">
        <f>20000</f>
        <v>20000</v>
      </c>
      <c r="S161" s="17">
        <f>75000</f>
        <v>75000</v>
      </c>
      <c r="T161" s="17">
        <v>350000</v>
      </c>
      <c r="U161" s="17">
        <v>200000</v>
      </c>
      <c r="V161" s="17">
        <f t="shared" si="20"/>
        <v>0</v>
      </c>
      <c r="W161" s="17"/>
    </row>
    <row r="162" spans="1:23" ht="37.5">
      <c r="A162" s="134"/>
      <c r="B162" s="134"/>
      <c r="C162" s="134"/>
      <c r="D162" s="146"/>
      <c r="E162" s="22" t="s">
        <v>291</v>
      </c>
      <c r="F162" s="68">
        <f t="shared" si="21"/>
        <v>500000</v>
      </c>
      <c r="G162" s="76">
        <v>1</v>
      </c>
      <c r="H162" s="68">
        <f t="shared" si="22"/>
        <v>500000</v>
      </c>
      <c r="I162" s="21">
        <v>500000</v>
      </c>
      <c r="J162" s="17"/>
      <c r="K162" s="17"/>
      <c r="L162" s="17">
        <v>20000</v>
      </c>
      <c r="M162" s="17"/>
      <c r="N162" s="17"/>
      <c r="O162" s="17">
        <v>-20000</v>
      </c>
      <c r="P162" s="17">
        <f>150000+20000</f>
        <v>170000</v>
      </c>
      <c r="Q162" s="17">
        <v>150000</v>
      </c>
      <c r="R162" s="17"/>
      <c r="S162" s="17">
        <v>80000</v>
      </c>
      <c r="T162" s="17"/>
      <c r="U162" s="17">
        <v>100000</v>
      </c>
      <c r="V162" s="17">
        <f t="shared" si="20"/>
        <v>0</v>
      </c>
      <c r="W162" s="17"/>
    </row>
    <row r="163" spans="1:23" ht="75">
      <c r="A163" s="134"/>
      <c r="B163" s="134"/>
      <c r="C163" s="134"/>
      <c r="D163" s="146"/>
      <c r="E163" s="22" t="s">
        <v>204</v>
      </c>
      <c r="F163" s="68">
        <f t="shared" si="21"/>
        <v>250000</v>
      </c>
      <c r="G163" s="76"/>
      <c r="H163" s="68">
        <f t="shared" si="22"/>
        <v>250000</v>
      </c>
      <c r="I163" s="21">
        <v>250000</v>
      </c>
      <c r="J163" s="17"/>
      <c r="K163" s="17"/>
      <c r="L163" s="17"/>
      <c r="M163" s="17"/>
      <c r="N163" s="17"/>
      <c r="O163" s="17">
        <v>125000</v>
      </c>
      <c r="P163" s="17"/>
      <c r="Q163" s="17"/>
      <c r="R163" s="17"/>
      <c r="S163" s="17">
        <v>100000</v>
      </c>
      <c r="T163" s="17"/>
      <c r="U163" s="17">
        <f>150000-125000</f>
        <v>25000</v>
      </c>
      <c r="V163" s="17">
        <f>I163-J163-K163-L163-M163-N163-O163-P163-Q163-R163-S163-T163-U163</f>
        <v>0</v>
      </c>
      <c r="W163" s="17">
        <f>122774</f>
        <v>122774</v>
      </c>
    </row>
    <row r="164" spans="1:23" ht="75">
      <c r="A164" s="134"/>
      <c r="B164" s="134"/>
      <c r="C164" s="134"/>
      <c r="D164" s="146"/>
      <c r="E164" s="22" t="s">
        <v>651</v>
      </c>
      <c r="F164" s="68">
        <f t="shared" si="21"/>
        <v>2730000</v>
      </c>
      <c r="G164" s="76">
        <v>1</v>
      </c>
      <c r="H164" s="68">
        <f t="shared" si="22"/>
        <v>2730000</v>
      </c>
      <c r="I164" s="21">
        <f>1700000+1030000</f>
        <v>2730000</v>
      </c>
      <c r="J164" s="17"/>
      <c r="K164" s="17"/>
      <c r="L164" s="17">
        <v>1009685</v>
      </c>
      <c r="M164" s="17"/>
      <c r="N164" s="17"/>
      <c r="O164" s="17">
        <f>50000-50000+350000</f>
        <v>350000</v>
      </c>
      <c r="P164" s="17">
        <f>165000-165000</f>
        <v>0</v>
      </c>
      <c r="Q164" s="17">
        <f>435000-435000</f>
        <v>0</v>
      </c>
      <c r="R164" s="17"/>
      <c r="S164" s="17"/>
      <c r="T164" s="17">
        <v>30000</v>
      </c>
      <c r="U164" s="17">
        <f>1050000-359685+1000000-350000</f>
        <v>1340315</v>
      </c>
      <c r="V164" s="17">
        <f t="shared" si="20"/>
        <v>0</v>
      </c>
      <c r="W164" s="17">
        <f>1003200+350000</f>
        <v>1353200</v>
      </c>
    </row>
    <row r="165" spans="1:23" ht="56.25">
      <c r="A165" s="134"/>
      <c r="B165" s="134"/>
      <c r="C165" s="134"/>
      <c r="D165" s="146"/>
      <c r="E165" s="22" t="s">
        <v>1036</v>
      </c>
      <c r="F165" s="68">
        <f t="shared" si="21"/>
        <v>274000</v>
      </c>
      <c r="G165" s="76">
        <v>1</v>
      </c>
      <c r="H165" s="68">
        <f t="shared" si="22"/>
        <v>274000</v>
      </c>
      <c r="I165" s="21">
        <f>285000-11000</f>
        <v>274000</v>
      </c>
      <c r="J165" s="17"/>
      <c r="K165" s="17"/>
      <c r="L165" s="17">
        <v>10000</v>
      </c>
      <c r="M165" s="17"/>
      <c r="N165" s="17">
        <v>-5000</v>
      </c>
      <c r="O165" s="17">
        <f>50000-11000-44000</f>
        <v>-5000</v>
      </c>
      <c r="P165" s="17">
        <v>44000</v>
      </c>
      <c r="Q165" s="17">
        <v>125000</v>
      </c>
      <c r="R165" s="17"/>
      <c r="S165" s="17">
        <v>100000</v>
      </c>
      <c r="T165" s="17">
        <v>5000</v>
      </c>
      <c r="U165" s="17"/>
      <c r="V165" s="17">
        <f t="shared" si="20"/>
        <v>0</v>
      </c>
      <c r="W165" s="17"/>
    </row>
    <row r="166" spans="1:23" ht="75">
      <c r="A166" s="134"/>
      <c r="B166" s="134"/>
      <c r="C166" s="134"/>
      <c r="D166" s="146"/>
      <c r="E166" s="22" t="s">
        <v>1037</v>
      </c>
      <c r="F166" s="68">
        <f t="shared" si="21"/>
        <v>670650</v>
      </c>
      <c r="G166" s="76">
        <v>1</v>
      </c>
      <c r="H166" s="68">
        <f t="shared" si="22"/>
        <v>670650</v>
      </c>
      <c r="I166" s="21">
        <f>659650+11000</f>
        <v>670650</v>
      </c>
      <c r="J166" s="17"/>
      <c r="K166" s="17"/>
      <c r="L166" s="17">
        <v>25000</v>
      </c>
      <c r="M166" s="17"/>
      <c r="N166" s="17">
        <v>-25000</v>
      </c>
      <c r="O166" s="17">
        <f>50000+11000-61000</f>
        <v>0</v>
      </c>
      <c r="P166" s="17">
        <f>34650+61000</f>
        <v>95650</v>
      </c>
      <c r="Q166" s="17">
        <v>250000</v>
      </c>
      <c r="R166" s="17"/>
      <c r="S166" s="17">
        <v>300000</v>
      </c>
      <c r="T166" s="17">
        <v>25000</v>
      </c>
      <c r="U166" s="17"/>
      <c r="V166" s="17">
        <f t="shared" si="20"/>
        <v>0</v>
      </c>
      <c r="W166" s="17"/>
    </row>
    <row r="167" spans="1:23" ht="37.5">
      <c r="A167" s="134"/>
      <c r="B167" s="134"/>
      <c r="C167" s="134"/>
      <c r="D167" s="146"/>
      <c r="E167" s="22" t="s">
        <v>1038</v>
      </c>
      <c r="F167" s="68">
        <f t="shared" si="21"/>
        <v>76800</v>
      </c>
      <c r="G167" s="76">
        <v>1</v>
      </c>
      <c r="H167" s="68">
        <f t="shared" si="22"/>
        <v>76800</v>
      </c>
      <c r="I167" s="21">
        <f>108800-32000</f>
        <v>76800</v>
      </c>
      <c r="J167" s="17"/>
      <c r="K167" s="17"/>
      <c r="L167" s="17">
        <v>80000</v>
      </c>
      <c r="M167" s="17"/>
      <c r="N167" s="17">
        <v>-80000</v>
      </c>
      <c r="O167" s="17"/>
      <c r="P167" s="17">
        <v>28800</v>
      </c>
      <c r="Q167" s="17"/>
      <c r="R167" s="17"/>
      <c r="S167" s="17"/>
      <c r="T167" s="17">
        <f>80000-32000</f>
        <v>48000</v>
      </c>
      <c r="U167" s="17"/>
      <c r="V167" s="17">
        <f t="shared" si="20"/>
        <v>0</v>
      </c>
      <c r="W167" s="17"/>
    </row>
    <row r="168" spans="1:23" ht="56.25">
      <c r="A168" s="134"/>
      <c r="B168" s="134"/>
      <c r="C168" s="134"/>
      <c r="D168" s="146"/>
      <c r="E168" s="22" t="s">
        <v>320</v>
      </c>
      <c r="F168" s="68"/>
      <c r="G168" s="76"/>
      <c r="H168" s="68"/>
      <c r="I168" s="21">
        <v>32000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>
        <v>32000</v>
      </c>
      <c r="U168" s="17"/>
      <c r="V168" s="17">
        <f>I168-J168-K168-L168-M168-N168-O168-P168-Q168-R168-S168-T168-U168</f>
        <v>0</v>
      </c>
      <c r="W168" s="17"/>
    </row>
    <row r="169" spans="1:23" ht="37.5">
      <c r="A169" s="134"/>
      <c r="B169" s="134"/>
      <c r="C169" s="134"/>
      <c r="D169" s="146"/>
      <c r="E169" s="22" t="s">
        <v>906</v>
      </c>
      <c r="F169" s="68">
        <f t="shared" si="21"/>
        <v>200000</v>
      </c>
      <c r="G169" s="76">
        <v>1</v>
      </c>
      <c r="H169" s="68">
        <f t="shared" si="22"/>
        <v>200000</v>
      </c>
      <c r="I169" s="21">
        <v>200000</v>
      </c>
      <c r="J169" s="17"/>
      <c r="K169" s="17"/>
      <c r="L169" s="17"/>
      <c r="M169" s="17"/>
      <c r="N169" s="17"/>
      <c r="O169" s="17"/>
      <c r="P169" s="17">
        <v>80000</v>
      </c>
      <c r="Q169" s="17">
        <v>60000</v>
      </c>
      <c r="R169" s="17"/>
      <c r="S169" s="17"/>
      <c r="T169" s="17"/>
      <c r="U169" s="17">
        <v>60000</v>
      </c>
      <c r="V169" s="17">
        <f t="shared" si="20"/>
        <v>0</v>
      </c>
      <c r="W169" s="17"/>
    </row>
    <row r="170" spans="1:23" ht="56.25">
      <c r="A170" s="134"/>
      <c r="B170" s="134"/>
      <c r="C170" s="134"/>
      <c r="D170" s="146"/>
      <c r="E170" s="22" t="s">
        <v>147</v>
      </c>
      <c r="F170" s="68">
        <f t="shared" si="21"/>
        <v>900000</v>
      </c>
      <c r="G170" s="76">
        <v>1</v>
      </c>
      <c r="H170" s="68">
        <f t="shared" si="22"/>
        <v>900000</v>
      </c>
      <c r="I170" s="21">
        <v>900000</v>
      </c>
      <c r="J170" s="17"/>
      <c r="K170" s="17"/>
      <c r="L170" s="17"/>
      <c r="M170" s="17"/>
      <c r="N170" s="17"/>
      <c r="O170" s="17">
        <v>50000</v>
      </c>
      <c r="P170" s="17">
        <v>125000</v>
      </c>
      <c r="Q170" s="17">
        <v>275000</v>
      </c>
      <c r="R170" s="17"/>
      <c r="S170" s="17"/>
      <c r="T170" s="17">
        <v>300000</v>
      </c>
      <c r="U170" s="17">
        <v>150000</v>
      </c>
      <c r="V170" s="17">
        <f t="shared" si="20"/>
        <v>0</v>
      </c>
      <c r="W170" s="17"/>
    </row>
    <row r="171" spans="1:23" ht="42" customHeight="1">
      <c r="A171" s="134"/>
      <c r="B171" s="134"/>
      <c r="C171" s="134"/>
      <c r="D171" s="146"/>
      <c r="E171" s="22" t="s">
        <v>176</v>
      </c>
      <c r="F171" s="68">
        <f t="shared" si="21"/>
        <v>340000</v>
      </c>
      <c r="G171" s="76">
        <v>1</v>
      </c>
      <c r="H171" s="68">
        <f t="shared" si="22"/>
        <v>340000</v>
      </c>
      <c r="I171" s="21">
        <f>600000+340000-600000</f>
        <v>340000</v>
      </c>
      <c r="J171" s="17"/>
      <c r="K171" s="17"/>
      <c r="L171" s="17">
        <f>25000+20000</f>
        <v>45000</v>
      </c>
      <c r="M171" s="17"/>
      <c r="N171" s="17">
        <v>-35000</v>
      </c>
      <c r="O171" s="17">
        <f>150000+160000-15000-295000-10000</f>
        <v>-10000</v>
      </c>
      <c r="P171" s="17">
        <f>100000-100000+10000</f>
        <v>10000</v>
      </c>
      <c r="Q171" s="17">
        <f>125000+60000-185000</f>
        <v>0</v>
      </c>
      <c r="R171" s="17"/>
      <c r="S171" s="17">
        <f>150000-150000</f>
        <v>0</v>
      </c>
      <c r="T171" s="17">
        <f>150000-150000+330000</f>
        <v>330000</v>
      </c>
      <c r="U171" s="17"/>
      <c r="V171" s="17">
        <f t="shared" si="20"/>
        <v>0</v>
      </c>
      <c r="W171" s="17"/>
    </row>
    <row r="172" spans="1:23" ht="36" hidden="1">
      <c r="A172" s="134"/>
      <c r="B172" s="134"/>
      <c r="C172" s="134"/>
      <c r="D172" s="146"/>
      <c r="E172" s="22" t="s">
        <v>183</v>
      </c>
      <c r="F172" s="68">
        <f t="shared" si="21"/>
        <v>0</v>
      </c>
      <c r="G172" s="76">
        <v>1</v>
      </c>
      <c r="H172" s="68">
        <f t="shared" si="22"/>
        <v>0</v>
      </c>
      <c r="I172" s="21">
        <f>150000-150000</f>
        <v>0</v>
      </c>
      <c r="J172" s="17"/>
      <c r="K172" s="17"/>
      <c r="L172" s="17">
        <v>15000</v>
      </c>
      <c r="M172" s="17">
        <v>-15000</v>
      </c>
      <c r="N172" s="17"/>
      <c r="O172" s="17"/>
      <c r="P172" s="17">
        <f>30000-30000</f>
        <v>0</v>
      </c>
      <c r="Q172" s="17"/>
      <c r="R172" s="17"/>
      <c r="S172" s="17">
        <f>105000-105000</f>
        <v>0</v>
      </c>
      <c r="T172" s="17"/>
      <c r="U172" s="17"/>
      <c r="V172" s="17">
        <f t="shared" si="20"/>
        <v>0</v>
      </c>
      <c r="W172" s="17"/>
    </row>
    <row r="173" spans="1:23" ht="44.25" customHeight="1">
      <c r="A173" s="134"/>
      <c r="B173" s="134"/>
      <c r="C173" s="134"/>
      <c r="D173" s="146"/>
      <c r="E173" s="22" t="s">
        <v>1060</v>
      </c>
      <c r="F173" s="68">
        <f t="shared" si="21"/>
        <v>350000</v>
      </c>
      <c r="G173" s="76">
        <v>1</v>
      </c>
      <c r="H173" s="68">
        <f t="shared" si="22"/>
        <v>350000</v>
      </c>
      <c r="I173" s="21">
        <v>350000</v>
      </c>
      <c r="J173" s="17"/>
      <c r="K173" s="17"/>
      <c r="L173" s="17">
        <v>20000</v>
      </c>
      <c r="M173" s="17"/>
      <c r="N173" s="17">
        <v>-20000</v>
      </c>
      <c r="O173" s="17"/>
      <c r="P173" s="17">
        <v>120000</v>
      </c>
      <c r="Q173" s="17">
        <v>60000</v>
      </c>
      <c r="R173" s="17"/>
      <c r="S173" s="17">
        <v>150000</v>
      </c>
      <c r="T173" s="17">
        <v>20000</v>
      </c>
      <c r="U173" s="17"/>
      <c r="V173" s="17">
        <f t="shared" si="20"/>
        <v>0</v>
      </c>
      <c r="W173" s="17"/>
    </row>
    <row r="174" spans="1:23" ht="42" customHeight="1" hidden="1">
      <c r="A174" s="134"/>
      <c r="B174" s="134"/>
      <c r="C174" s="134"/>
      <c r="D174" s="146"/>
      <c r="E174" s="22" t="s">
        <v>247</v>
      </c>
      <c r="F174" s="68">
        <f t="shared" si="21"/>
        <v>0</v>
      </c>
      <c r="G174" s="76">
        <v>1</v>
      </c>
      <c r="H174" s="68">
        <f t="shared" si="22"/>
        <v>0</v>
      </c>
      <c r="I174" s="21">
        <f>340000-340000</f>
        <v>0</v>
      </c>
      <c r="J174" s="17"/>
      <c r="K174" s="17"/>
      <c r="L174" s="17">
        <f>20000-20000</f>
        <v>0</v>
      </c>
      <c r="M174" s="17"/>
      <c r="N174" s="17"/>
      <c r="O174" s="17">
        <f>160000-160000</f>
        <v>0</v>
      </c>
      <c r="P174" s="17">
        <f>100000-100000</f>
        <v>0</v>
      </c>
      <c r="Q174" s="17">
        <f>60000-60000</f>
        <v>0</v>
      </c>
      <c r="R174" s="17"/>
      <c r="S174" s="17"/>
      <c r="T174" s="17"/>
      <c r="U174" s="17"/>
      <c r="V174" s="17">
        <f t="shared" si="20"/>
        <v>0</v>
      </c>
      <c r="W174" s="17"/>
    </row>
    <row r="175" spans="1:23" ht="56.25">
      <c r="A175" s="134"/>
      <c r="B175" s="134"/>
      <c r="C175" s="134"/>
      <c r="D175" s="146"/>
      <c r="E175" s="22" t="s">
        <v>248</v>
      </c>
      <c r="F175" s="68">
        <f t="shared" si="21"/>
        <v>90000</v>
      </c>
      <c r="G175" s="76">
        <v>1</v>
      </c>
      <c r="H175" s="68">
        <f t="shared" si="22"/>
        <v>90000</v>
      </c>
      <c r="I175" s="21">
        <v>90000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>
        <v>90000</v>
      </c>
      <c r="T175" s="17"/>
      <c r="U175" s="17"/>
      <c r="V175" s="17">
        <f t="shared" si="20"/>
        <v>0</v>
      </c>
      <c r="W175" s="17"/>
    </row>
    <row r="176" spans="1:23" ht="93.75">
      <c r="A176" s="134"/>
      <c r="B176" s="134"/>
      <c r="C176" s="134"/>
      <c r="D176" s="146"/>
      <c r="E176" s="14" t="s">
        <v>589</v>
      </c>
      <c r="F176" s="68">
        <f t="shared" si="21"/>
        <v>1195000</v>
      </c>
      <c r="G176" s="76">
        <v>1</v>
      </c>
      <c r="H176" s="68">
        <f t="shared" si="22"/>
        <v>1195000</v>
      </c>
      <c r="I176" s="30">
        <f>2218000-1023000</f>
        <v>1195000</v>
      </c>
      <c r="J176" s="17">
        <v>1150000</v>
      </c>
      <c r="K176" s="17">
        <v>-500000</v>
      </c>
      <c r="L176" s="17">
        <f>534000-250000</f>
        <v>284000</v>
      </c>
      <c r="M176" s="17">
        <f>534000-273000</f>
        <v>261000</v>
      </c>
      <c r="N176" s="17">
        <v>-120000</v>
      </c>
      <c r="O176" s="17">
        <v>-5000</v>
      </c>
      <c r="P176" s="17">
        <v>5000</v>
      </c>
      <c r="Q176" s="17">
        <v>59000</v>
      </c>
      <c r="R176" s="17">
        <v>61000</v>
      </c>
      <c r="S176" s="17"/>
      <c r="T176" s="17"/>
      <c r="U176" s="17"/>
      <c r="V176" s="17">
        <f t="shared" si="20"/>
        <v>0</v>
      </c>
      <c r="W176" s="17">
        <v>1068731.18</v>
      </c>
    </row>
    <row r="177" spans="1:23" ht="37.5">
      <c r="A177" s="134"/>
      <c r="B177" s="134"/>
      <c r="C177" s="134"/>
      <c r="D177" s="146"/>
      <c r="E177" s="22" t="s">
        <v>1015</v>
      </c>
      <c r="F177" s="68">
        <f t="shared" si="21"/>
        <v>1000000</v>
      </c>
      <c r="G177" s="76">
        <v>1</v>
      </c>
      <c r="H177" s="68">
        <f t="shared" si="22"/>
        <v>1000000</v>
      </c>
      <c r="I177" s="21">
        <v>1000000</v>
      </c>
      <c r="J177" s="17"/>
      <c r="K177" s="17"/>
      <c r="L177" s="17"/>
      <c r="M177" s="17"/>
      <c r="N177" s="17"/>
      <c r="O177" s="17"/>
      <c r="P177" s="17">
        <v>100000</v>
      </c>
      <c r="Q177" s="17">
        <v>100000</v>
      </c>
      <c r="R177" s="17"/>
      <c r="S177" s="17"/>
      <c r="T177" s="17">
        <v>600000</v>
      </c>
      <c r="U177" s="17">
        <v>200000</v>
      </c>
      <c r="V177" s="17">
        <f t="shared" si="20"/>
        <v>0</v>
      </c>
      <c r="W177" s="17"/>
    </row>
    <row r="178" spans="1:23" ht="56.25">
      <c r="A178" s="134"/>
      <c r="B178" s="134"/>
      <c r="C178" s="134"/>
      <c r="D178" s="146"/>
      <c r="E178" s="22" t="s">
        <v>1016</v>
      </c>
      <c r="F178" s="68">
        <f t="shared" si="21"/>
        <v>2120000</v>
      </c>
      <c r="G178" s="76">
        <v>1</v>
      </c>
      <c r="H178" s="68">
        <f t="shared" si="22"/>
        <v>2120000</v>
      </c>
      <c r="I178" s="21">
        <v>2120000</v>
      </c>
      <c r="J178" s="17"/>
      <c r="K178" s="17"/>
      <c r="L178" s="17"/>
      <c r="M178" s="17"/>
      <c r="N178" s="17"/>
      <c r="O178" s="17"/>
      <c r="P178" s="17">
        <v>100000</v>
      </c>
      <c r="Q178" s="17">
        <v>620000</v>
      </c>
      <c r="R178" s="17"/>
      <c r="S178" s="17">
        <v>100000</v>
      </c>
      <c r="T178" s="17"/>
      <c r="U178" s="17">
        <v>1300000</v>
      </c>
      <c r="V178" s="17">
        <f t="shared" si="20"/>
        <v>0</v>
      </c>
      <c r="W178" s="17"/>
    </row>
    <row r="179" spans="1:23" ht="56.25">
      <c r="A179" s="134"/>
      <c r="B179" s="134"/>
      <c r="C179" s="134"/>
      <c r="D179" s="146"/>
      <c r="E179" s="22" t="s">
        <v>1017</v>
      </c>
      <c r="F179" s="68">
        <f t="shared" si="21"/>
        <v>315550</v>
      </c>
      <c r="G179" s="76">
        <v>1</v>
      </c>
      <c r="H179" s="68">
        <f t="shared" si="22"/>
        <v>315550</v>
      </c>
      <c r="I179" s="21">
        <f>250000+65550</f>
        <v>315550</v>
      </c>
      <c r="J179" s="17"/>
      <c r="K179" s="17"/>
      <c r="L179" s="17"/>
      <c r="M179" s="17"/>
      <c r="N179" s="17"/>
      <c r="O179" s="17">
        <v>65550</v>
      </c>
      <c r="P179" s="17">
        <v>125000</v>
      </c>
      <c r="Q179" s="17">
        <v>125000</v>
      </c>
      <c r="R179" s="17"/>
      <c r="S179" s="17"/>
      <c r="T179" s="17"/>
      <c r="U179" s="17"/>
      <c r="V179" s="17">
        <f t="shared" si="20"/>
        <v>0</v>
      </c>
      <c r="W179" s="17"/>
    </row>
    <row r="180" spans="1:23" ht="37.5">
      <c r="A180" s="134"/>
      <c r="B180" s="134"/>
      <c r="C180" s="134"/>
      <c r="D180" s="146"/>
      <c r="E180" s="22" t="s">
        <v>150</v>
      </c>
      <c r="F180" s="68">
        <f t="shared" si="21"/>
        <v>500000</v>
      </c>
      <c r="G180" s="76">
        <v>1</v>
      </c>
      <c r="H180" s="68">
        <f t="shared" si="22"/>
        <v>500000</v>
      </c>
      <c r="I180" s="21">
        <v>500000</v>
      </c>
      <c r="J180" s="17"/>
      <c r="K180" s="17"/>
      <c r="L180" s="17"/>
      <c r="M180" s="17"/>
      <c r="N180" s="17"/>
      <c r="O180" s="17">
        <f>250000</f>
        <v>250000</v>
      </c>
      <c r="P180" s="17">
        <v>100000</v>
      </c>
      <c r="Q180" s="17">
        <f>60000-60000</f>
        <v>0</v>
      </c>
      <c r="R180" s="17">
        <f>20000-20000</f>
        <v>0</v>
      </c>
      <c r="S180" s="17">
        <f>200000-170000</f>
        <v>30000</v>
      </c>
      <c r="T180" s="17">
        <v>120000</v>
      </c>
      <c r="U180" s="17"/>
      <c r="V180" s="17">
        <f t="shared" si="20"/>
        <v>0</v>
      </c>
      <c r="W180" s="17">
        <f>246555.55</f>
        <v>246555.55</v>
      </c>
    </row>
    <row r="181" spans="1:23" ht="37.5">
      <c r="A181" s="134"/>
      <c r="B181" s="134"/>
      <c r="C181" s="134"/>
      <c r="D181" s="146"/>
      <c r="E181" s="22" t="s">
        <v>185</v>
      </c>
      <c r="F181" s="68">
        <f t="shared" si="21"/>
        <v>14600</v>
      </c>
      <c r="G181" s="76">
        <v>1</v>
      </c>
      <c r="H181" s="68">
        <f t="shared" si="22"/>
        <v>14600</v>
      </c>
      <c r="I181" s="21">
        <v>14600</v>
      </c>
      <c r="J181" s="17"/>
      <c r="K181" s="17"/>
      <c r="L181" s="17"/>
      <c r="M181" s="17"/>
      <c r="N181" s="17"/>
      <c r="O181" s="17"/>
      <c r="P181" s="17"/>
      <c r="Q181" s="17"/>
      <c r="R181" s="17">
        <v>14600</v>
      </c>
      <c r="S181" s="17"/>
      <c r="T181" s="17"/>
      <c r="U181" s="17"/>
      <c r="V181" s="17">
        <f t="shared" si="20"/>
        <v>0</v>
      </c>
      <c r="W181" s="17"/>
    </row>
    <row r="182" spans="1:23" ht="37.5">
      <c r="A182" s="134"/>
      <c r="B182" s="134"/>
      <c r="C182" s="134"/>
      <c r="D182" s="146"/>
      <c r="E182" s="22" t="s">
        <v>186</v>
      </c>
      <c r="F182" s="68">
        <f t="shared" si="21"/>
        <v>44600</v>
      </c>
      <c r="G182" s="76">
        <v>1</v>
      </c>
      <c r="H182" s="68">
        <f t="shared" si="22"/>
        <v>44600</v>
      </c>
      <c r="I182" s="21">
        <v>44600</v>
      </c>
      <c r="J182" s="17"/>
      <c r="K182" s="17"/>
      <c r="L182" s="17"/>
      <c r="M182" s="17"/>
      <c r="N182" s="17"/>
      <c r="O182" s="17"/>
      <c r="P182" s="17"/>
      <c r="Q182" s="17"/>
      <c r="R182" s="17">
        <v>44600</v>
      </c>
      <c r="S182" s="17"/>
      <c r="T182" s="17"/>
      <c r="U182" s="17"/>
      <c r="V182" s="17">
        <f t="shared" si="20"/>
        <v>0</v>
      </c>
      <c r="W182" s="17"/>
    </row>
    <row r="183" spans="1:23" ht="43.5" customHeight="1">
      <c r="A183" s="134"/>
      <c r="B183" s="134"/>
      <c r="C183" s="134"/>
      <c r="D183" s="146"/>
      <c r="E183" s="22" t="s">
        <v>187</v>
      </c>
      <c r="F183" s="68">
        <f t="shared" si="21"/>
        <v>31700</v>
      </c>
      <c r="G183" s="76">
        <v>1</v>
      </c>
      <c r="H183" s="68">
        <f t="shared" si="22"/>
        <v>31700</v>
      </c>
      <c r="I183" s="21">
        <v>31700</v>
      </c>
      <c r="J183" s="17"/>
      <c r="K183" s="17"/>
      <c r="L183" s="17"/>
      <c r="M183" s="17"/>
      <c r="N183" s="17"/>
      <c r="O183" s="17"/>
      <c r="P183" s="17"/>
      <c r="Q183" s="17"/>
      <c r="R183" s="17">
        <v>31700</v>
      </c>
      <c r="S183" s="17"/>
      <c r="T183" s="17"/>
      <c r="U183" s="17"/>
      <c r="V183" s="17">
        <f t="shared" si="20"/>
        <v>0</v>
      </c>
      <c r="W183" s="17"/>
    </row>
    <row r="184" spans="1:23" ht="56.25">
      <c r="A184" s="134"/>
      <c r="B184" s="134"/>
      <c r="C184" s="134"/>
      <c r="D184" s="146"/>
      <c r="E184" s="22" t="s">
        <v>1100</v>
      </c>
      <c r="F184" s="68">
        <f t="shared" si="21"/>
        <v>110000</v>
      </c>
      <c r="G184" s="76"/>
      <c r="H184" s="68">
        <f t="shared" si="22"/>
        <v>110000</v>
      </c>
      <c r="I184" s="21">
        <v>110000</v>
      </c>
      <c r="J184" s="17"/>
      <c r="K184" s="17"/>
      <c r="L184" s="17"/>
      <c r="M184" s="17"/>
      <c r="N184" s="17"/>
      <c r="O184" s="17"/>
      <c r="P184" s="17"/>
      <c r="Q184" s="17">
        <v>68000</v>
      </c>
      <c r="R184" s="17"/>
      <c r="S184" s="17">
        <v>42000</v>
      </c>
      <c r="T184" s="17"/>
      <c r="U184" s="17"/>
      <c r="V184" s="17">
        <f>I184-J184-K184-L184-M184-N184-O184-P184-Q184-R184-S184-T184-U184</f>
        <v>0</v>
      </c>
      <c r="W184" s="17"/>
    </row>
    <row r="185" spans="1:23" ht="37.5">
      <c r="A185" s="134"/>
      <c r="B185" s="134"/>
      <c r="C185" s="134"/>
      <c r="D185" s="146"/>
      <c r="E185" s="22" t="s">
        <v>869</v>
      </c>
      <c r="F185" s="68">
        <f t="shared" si="21"/>
        <v>500000</v>
      </c>
      <c r="G185" s="76">
        <v>1</v>
      </c>
      <c r="H185" s="68">
        <f t="shared" si="22"/>
        <v>500000</v>
      </c>
      <c r="I185" s="21">
        <v>500000</v>
      </c>
      <c r="J185" s="17"/>
      <c r="K185" s="17"/>
      <c r="L185" s="17"/>
      <c r="M185" s="17"/>
      <c r="N185" s="17"/>
      <c r="O185" s="17"/>
      <c r="P185" s="17">
        <v>60000</v>
      </c>
      <c r="Q185" s="17">
        <v>100000</v>
      </c>
      <c r="R185" s="17"/>
      <c r="S185" s="17">
        <v>280000</v>
      </c>
      <c r="T185" s="17">
        <v>60000</v>
      </c>
      <c r="U185" s="17"/>
      <c r="V185" s="17">
        <f t="shared" si="20"/>
        <v>0</v>
      </c>
      <c r="W185" s="17"/>
    </row>
    <row r="186" spans="1:23" ht="131.25">
      <c r="A186" s="134"/>
      <c r="B186" s="134"/>
      <c r="C186" s="134"/>
      <c r="D186" s="146"/>
      <c r="E186" s="22" t="s">
        <v>338</v>
      </c>
      <c r="F186" s="68">
        <f t="shared" si="21"/>
        <v>990000</v>
      </c>
      <c r="G186" s="76"/>
      <c r="H186" s="68">
        <f t="shared" si="22"/>
        <v>990000</v>
      </c>
      <c r="I186" s="21">
        <v>990000</v>
      </c>
      <c r="J186" s="17"/>
      <c r="K186" s="17"/>
      <c r="L186" s="17"/>
      <c r="M186" s="17">
        <v>990000</v>
      </c>
      <c r="N186" s="17">
        <v>-990000</v>
      </c>
      <c r="O186" s="17">
        <v>355000</v>
      </c>
      <c r="P186" s="17">
        <v>447000</v>
      </c>
      <c r="Q186" s="17">
        <v>188000</v>
      </c>
      <c r="R186" s="17"/>
      <c r="S186" s="17"/>
      <c r="T186" s="17"/>
      <c r="U186" s="17"/>
      <c r="V186" s="17">
        <f>I186-J186-K186-L186-M186-N186-O186-P186-Q186-R186-S186-T186-U186</f>
        <v>0</v>
      </c>
      <c r="W186" s="17">
        <f>355000</f>
        <v>355000</v>
      </c>
    </row>
    <row r="187" spans="1:23" ht="37.5">
      <c r="A187" s="134"/>
      <c r="B187" s="134"/>
      <c r="C187" s="134"/>
      <c r="D187" s="146"/>
      <c r="E187" s="22" t="s">
        <v>96</v>
      </c>
      <c r="F187" s="68">
        <f t="shared" si="21"/>
        <v>400000</v>
      </c>
      <c r="G187" s="76"/>
      <c r="H187" s="68">
        <f t="shared" si="22"/>
        <v>400000</v>
      </c>
      <c r="I187" s="21">
        <v>400000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v>400000</v>
      </c>
      <c r="U187" s="17"/>
      <c r="V187" s="17">
        <f>I187-J187-K187-L187-M187-N187-O187-P187-Q187-R187-S187-T187-U187</f>
        <v>0</v>
      </c>
      <c r="W187" s="17"/>
    </row>
    <row r="188" spans="1:23" ht="72" hidden="1">
      <c r="A188" s="134"/>
      <c r="B188" s="134"/>
      <c r="C188" s="134"/>
      <c r="D188" s="146"/>
      <c r="E188" s="22" t="s">
        <v>870</v>
      </c>
      <c r="F188" s="68">
        <f t="shared" si="21"/>
        <v>0</v>
      </c>
      <c r="G188" s="76">
        <v>1</v>
      </c>
      <c r="H188" s="68">
        <f t="shared" si="22"/>
        <v>0</v>
      </c>
      <c r="I188" s="21">
        <f>1470000-1470000</f>
        <v>0</v>
      </c>
      <c r="J188" s="17"/>
      <c r="K188" s="17"/>
      <c r="L188" s="17"/>
      <c r="M188" s="17"/>
      <c r="N188" s="17"/>
      <c r="O188" s="17"/>
      <c r="P188" s="17"/>
      <c r="Q188" s="17">
        <f>320000-320000</f>
        <v>0</v>
      </c>
      <c r="R188" s="17"/>
      <c r="S188" s="17">
        <f>900000-900000</f>
        <v>0</v>
      </c>
      <c r="T188" s="17">
        <f>150000-150000</f>
        <v>0</v>
      </c>
      <c r="U188" s="17">
        <f>100000-100000</f>
        <v>0</v>
      </c>
      <c r="V188" s="17">
        <f>I188-J188-K188-L188-M188-N188-O188-P188-Q188-R188-S188-T188-U188</f>
        <v>0</v>
      </c>
      <c r="W188" s="17"/>
    </row>
    <row r="189" spans="1:23" ht="37.5">
      <c r="A189" s="134"/>
      <c r="B189" s="134"/>
      <c r="C189" s="134"/>
      <c r="D189" s="146"/>
      <c r="E189" s="22" t="s">
        <v>205</v>
      </c>
      <c r="F189" s="68"/>
      <c r="G189" s="76"/>
      <c r="H189" s="68"/>
      <c r="I189" s="21">
        <v>45500</v>
      </c>
      <c r="J189" s="17"/>
      <c r="K189" s="17"/>
      <c r="L189" s="17"/>
      <c r="M189" s="17"/>
      <c r="N189" s="17"/>
      <c r="O189" s="17"/>
      <c r="P189" s="17">
        <v>45500</v>
      </c>
      <c r="Q189" s="17"/>
      <c r="R189" s="17"/>
      <c r="S189" s="17"/>
      <c r="T189" s="17"/>
      <c r="U189" s="17"/>
      <c r="V189" s="17">
        <f>I189-J189-K189-L189-M189-N189-O189-P189-Q189-R189-S189-T189-U189</f>
        <v>0</v>
      </c>
      <c r="W189" s="17"/>
    </row>
    <row r="190" spans="1:23" ht="44.25" customHeight="1">
      <c r="A190" s="134"/>
      <c r="B190" s="134"/>
      <c r="C190" s="134"/>
      <c r="D190" s="146"/>
      <c r="E190" s="22" t="s">
        <v>75</v>
      </c>
      <c r="F190" s="68">
        <f t="shared" si="21"/>
        <v>205000</v>
      </c>
      <c r="G190" s="76">
        <v>1</v>
      </c>
      <c r="H190" s="68">
        <f t="shared" si="22"/>
        <v>205000</v>
      </c>
      <c r="I190" s="21">
        <v>205000</v>
      </c>
      <c r="J190" s="17"/>
      <c r="K190" s="17"/>
      <c r="L190" s="17"/>
      <c r="M190" s="17"/>
      <c r="N190" s="17"/>
      <c r="O190" s="17">
        <v>50000</v>
      </c>
      <c r="P190" s="17"/>
      <c r="Q190" s="17"/>
      <c r="R190" s="17"/>
      <c r="S190" s="17">
        <v>100000</v>
      </c>
      <c r="T190" s="17">
        <v>55000</v>
      </c>
      <c r="U190" s="17"/>
      <c r="V190" s="17">
        <f t="shared" si="20"/>
        <v>0</v>
      </c>
      <c r="W190" s="17">
        <f>50000</f>
        <v>50000</v>
      </c>
    </row>
    <row r="191" spans="1:23" ht="42" customHeight="1">
      <c r="A191" s="134"/>
      <c r="B191" s="134"/>
      <c r="C191" s="134"/>
      <c r="D191" s="146"/>
      <c r="E191" s="22" t="s">
        <v>76</v>
      </c>
      <c r="F191" s="68">
        <f t="shared" si="21"/>
        <v>180000</v>
      </c>
      <c r="G191" s="76">
        <v>1</v>
      </c>
      <c r="H191" s="68">
        <f t="shared" si="22"/>
        <v>180000</v>
      </c>
      <c r="I191" s="21">
        <v>180000</v>
      </c>
      <c r="J191" s="17"/>
      <c r="K191" s="17"/>
      <c r="L191" s="17"/>
      <c r="M191" s="17"/>
      <c r="N191" s="17">
        <f>83882.93-80000</f>
        <v>3882.929999999993</v>
      </c>
      <c r="O191" s="17"/>
      <c r="P191" s="17">
        <v>96117.07</v>
      </c>
      <c r="Q191" s="17"/>
      <c r="R191" s="17"/>
      <c r="S191" s="17">
        <v>56000</v>
      </c>
      <c r="T191" s="17">
        <v>24000</v>
      </c>
      <c r="U191" s="17"/>
      <c r="V191" s="17">
        <f t="shared" si="20"/>
        <v>0</v>
      </c>
      <c r="W191" s="17"/>
    </row>
    <row r="192" spans="1:23" ht="42" customHeight="1">
      <c r="A192" s="134"/>
      <c r="B192" s="134"/>
      <c r="C192" s="134"/>
      <c r="D192" s="146"/>
      <c r="E192" s="22" t="s">
        <v>330</v>
      </c>
      <c r="F192" s="68">
        <f t="shared" si="21"/>
        <v>200000</v>
      </c>
      <c r="G192" s="76"/>
      <c r="H192" s="68">
        <f t="shared" si="22"/>
        <v>200000</v>
      </c>
      <c r="I192" s="21">
        <v>200000</v>
      </c>
      <c r="J192" s="17"/>
      <c r="K192" s="17"/>
      <c r="L192" s="17"/>
      <c r="M192" s="17"/>
      <c r="N192" s="17"/>
      <c r="O192" s="17">
        <v>200000</v>
      </c>
      <c r="P192" s="17"/>
      <c r="Q192" s="17"/>
      <c r="R192" s="17"/>
      <c r="S192" s="17"/>
      <c r="T192" s="17"/>
      <c r="U192" s="17"/>
      <c r="V192" s="17">
        <f>I192-J192-K192-L192-M192-N192-O192-P192-Q192-R192-S192-T192-U192</f>
        <v>0</v>
      </c>
      <c r="W192" s="17"/>
    </row>
    <row r="193" spans="1:23" ht="56.25">
      <c r="A193" s="134"/>
      <c r="B193" s="134"/>
      <c r="C193" s="134"/>
      <c r="D193" s="146"/>
      <c r="E193" s="22" t="s">
        <v>77</v>
      </c>
      <c r="F193" s="68">
        <f t="shared" si="21"/>
        <v>7800000</v>
      </c>
      <c r="G193" s="76">
        <v>1</v>
      </c>
      <c r="H193" s="68">
        <f t="shared" si="22"/>
        <v>7800000</v>
      </c>
      <c r="I193" s="21">
        <v>7800000</v>
      </c>
      <c r="J193" s="17"/>
      <c r="K193" s="17"/>
      <c r="L193" s="17"/>
      <c r="M193" s="17"/>
      <c r="N193" s="17"/>
      <c r="O193" s="17"/>
      <c r="P193" s="17">
        <v>300000</v>
      </c>
      <c r="Q193" s="17">
        <v>1491433.47</v>
      </c>
      <c r="R193" s="17"/>
      <c r="S193" s="17"/>
      <c r="T193" s="17">
        <v>708566.53</v>
      </c>
      <c r="U193" s="17">
        <v>5300000</v>
      </c>
      <c r="V193" s="17">
        <f t="shared" si="20"/>
        <v>0</v>
      </c>
      <c r="W193" s="17"/>
    </row>
    <row r="194" spans="1:23" ht="37.5">
      <c r="A194" s="134"/>
      <c r="B194" s="133"/>
      <c r="C194" s="134"/>
      <c r="D194" s="146"/>
      <c r="E194" s="20" t="s">
        <v>78</v>
      </c>
      <c r="F194" s="68">
        <f t="shared" si="21"/>
        <v>1280000</v>
      </c>
      <c r="G194" s="76">
        <v>1</v>
      </c>
      <c r="H194" s="68">
        <f t="shared" si="22"/>
        <v>1280000</v>
      </c>
      <c r="I194" s="21">
        <v>1280000</v>
      </c>
      <c r="J194" s="17"/>
      <c r="K194" s="17"/>
      <c r="L194" s="17"/>
      <c r="M194" s="17"/>
      <c r="N194" s="17"/>
      <c r="O194" s="17"/>
      <c r="P194" s="17">
        <v>45000</v>
      </c>
      <c r="Q194" s="17">
        <v>100000</v>
      </c>
      <c r="R194" s="17">
        <v>35000</v>
      </c>
      <c r="S194" s="17">
        <v>800000</v>
      </c>
      <c r="T194" s="17">
        <v>100000</v>
      </c>
      <c r="U194" s="17">
        <v>200000</v>
      </c>
      <c r="V194" s="17">
        <f t="shared" si="20"/>
        <v>0</v>
      </c>
      <c r="W194" s="17"/>
    </row>
    <row r="195" spans="1:23" ht="18.75">
      <c r="A195" s="147" t="s">
        <v>1001</v>
      </c>
      <c r="B195" s="132" t="s">
        <v>430</v>
      </c>
      <c r="C195" s="147" t="s">
        <v>681</v>
      </c>
      <c r="D195" s="148" t="s">
        <v>224</v>
      </c>
      <c r="E195" s="20"/>
      <c r="F195" s="20"/>
      <c r="G195" s="20"/>
      <c r="H195" s="20"/>
      <c r="I195" s="10">
        <f>I196</f>
        <v>1300000</v>
      </c>
      <c r="J195" s="10">
        <f aca="true" t="shared" si="23" ref="J195:W195">J196</f>
        <v>0</v>
      </c>
      <c r="K195" s="10">
        <f t="shared" si="23"/>
        <v>0</v>
      </c>
      <c r="L195" s="10">
        <f t="shared" si="23"/>
        <v>0</v>
      </c>
      <c r="M195" s="10">
        <f t="shared" si="23"/>
        <v>0</v>
      </c>
      <c r="N195" s="10">
        <f t="shared" si="23"/>
        <v>0</v>
      </c>
      <c r="O195" s="10">
        <f t="shared" si="23"/>
        <v>0</v>
      </c>
      <c r="P195" s="10">
        <f t="shared" si="23"/>
        <v>0</v>
      </c>
      <c r="Q195" s="10">
        <f t="shared" si="23"/>
        <v>0</v>
      </c>
      <c r="R195" s="10">
        <f t="shared" si="23"/>
        <v>1300000</v>
      </c>
      <c r="S195" s="10">
        <f t="shared" si="23"/>
        <v>0</v>
      </c>
      <c r="T195" s="10">
        <f t="shared" si="23"/>
        <v>0</v>
      </c>
      <c r="U195" s="10">
        <f t="shared" si="23"/>
        <v>0</v>
      </c>
      <c r="V195" s="10">
        <f t="shared" si="23"/>
        <v>0</v>
      </c>
      <c r="W195" s="10">
        <f t="shared" si="23"/>
        <v>0</v>
      </c>
    </row>
    <row r="196" spans="1:23" ht="136.5" customHeight="1">
      <c r="A196" s="147"/>
      <c r="B196" s="133"/>
      <c r="C196" s="147"/>
      <c r="D196" s="148"/>
      <c r="E196" s="20" t="s">
        <v>79</v>
      </c>
      <c r="F196" s="20"/>
      <c r="G196" s="20"/>
      <c r="H196" s="20"/>
      <c r="I196" s="21">
        <v>1300000</v>
      </c>
      <c r="J196" s="17"/>
      <c r="K196" s="17"/>
      <c r="L196" s="17"/>
      <c r="M196" s="17"/>
      <c r="N196" s="17"/>
      <c r="O196" s="17"/>
      <c r="P196" s="17"/>
      <c r="Q196" s="17"/>
      <c r="R196" s="17">
        <v>1300000</v>
      </c>
      <c r="S196" s="17"/>
      <c r="T196" s="17"/>
      <c r="U196" s="17"/>
      <c r="V196" s="17">
        <f t="shared" si="20"/>
        <v>0</v>
      </c>
      <c r="W196" s="17"/>
    </row>
    <row r="197" spans="1:23" ht="18.75">
      <c r="A197" s="147" t="s">
        <v>559</v>
      </c>
      <c r="B197" s="132" t="s">
        <v>735</v>
      </c>
      <c r="C197" s="147" t="s">
        <v>591</v>
      </c>
      <c r="D197" s="148" t="s">
        <v>560</v>
      </c>
      <c r="E197" s="16"/>
      <c r="F197" s="16"/>
      <c r="G197" s="16"/>
      <c r="H197" s="16"/>
      <c r="I197" s="50">
        <f>SUM(I198:I202)</f>
        <v>842000</v>
      </c>
      <c r="J197" s="50">
        <f aca="true" t="shared" si="24" ref="J197:W197">SUM(J198:J202)</f>
        <v>0</v>
      </c>
      <c r="K197" s="50">
        <f t="shared" si="24"/>
        <v>0</v>
      </c>
      <c r="L197" s="50">
        <f t="shared" si="24"/>
        <v>0</v>
      </c>
      <c r="M197" s="50">
        <f t="shared" si="24"/>
        <v>120000</v>
      </c>
      <c r="N197" s="50">
        <f t="shared" si="24"/>
        <v>100000</v>
      </c>
      <c r="O197" s="50">
        <f t="shared" si="24"/>
        <v>-60000</v>
      </c>
      <c r="P197" s="50">
        <f t="shared" si="24"/>
        <v>190000</v>
      </c>
      <c r="Q197" s="50">
        <f t="shared" si="24"/>
        <v>70000</v>
      </c>
      <c r="R197" s="50">
        <f t="shared" si="24"/>
        <v>252000</v>
      </c>
      <c r="S197" s="50">
        <f t="shared" si="24"/>
        <v>0</v>
      </c>
      <c r="T197" s="50">
        <f t="shared" si="24"/>
        <v>0</v>
      </c>
      <c r="U197" s="50">
        <f t="shared" si="24"/>
        <v>100000</v>
      </c>
      <c r="V197" s="50">
        <f t="shared" si="24"/>
        <v>70000</v>
      </c>
      <c r="W197" s="50">
        <f t="shared" si="24"/>
        <v>158576.38</v>
      </c>
    </row>
    <row r="198" spans="1:23" ht="54.75" customHeight="1">
      <c r="A198" s="147"/>
      <c r="B198" s="134"/>
      <c r="C198" s="147"/>
      <c r="D198" s="148"/>
      <c r="E198" s="16" t="s">
        <v>1023</v>
      </c>
      <c r="F198" s="16"/>
      <c r="G198" s="16"/>
      <c r="H198" s="16"/>
      <c r="I198" s="24">
        <v>152000</v>
      </c>
      <c r="J198" s="17"/>
      <c r="K198" s="17"/>
      <c r="L198" s="17"/>
      <c r="M198" s="17"/>
      <c r="N198" s="17"/>
      <c r="O198" s="17"/>
      <c r="P198" s="17"/>
      <c r="Q198" s="17"/>
      <c r="R198" s="17">
        <v>152000</v>
      </c>
      <c r="S198" s="17"/>
      <c r="T198" s="17"/>
      <c r="U198" s="17"/>
      <c r="V198" s="17">
        <f t="shared" si="20"/>
        <v>0</v>
      </c>
      <c r="W198" s="17"/>
    </row>
    <row r="199" spans="1:23" ht="56.25">
      <c r="A199" s="147"/>
      <c r="B199" s="134"/>
      <c r="C199" s="147"/>
      <c r="D199" s="148"/>
      <c r="E199" s="16" t="s">
        <v>321</v>
      </c>
      <c r="F199" s="16"/>
      <c r="G199" s="16"/>
      <c r="H199" s="16"/>
      <c r="I199" s="24">
        <v>70000</v>
      </c>
      <c r="J199" s="17"/>
      <c r="K199" s="17"/>
      <c r="L199" s="17"/>
      <c r="M199" s="17"/>
      <c r="N199" s="17"/>
      <c r="O199" s="17"/>
      <c r="P199" s="17"/>
      <c r="Q199" s="17">
        <v>70000</v>
      </c>
      <c r="R199" s="17"/>
      <c r="S199" s="17"/>
      <c r="T199" s="17"/>
      <c r="U199" s="17"/>
      <c r="V199" s="17">
        <f>I199-J199-K199-L199-M199-N199-O199-P199-Q199-R199-S199-T199-U199</f>
        <v>0</v>
      </c>
      <c r="W199" s="17"/>
    </row>
    <row r="200" spans="1:23" ht="56.25">
      <c r="A200" s="147"/>
      <c r="B200" s="134"/>
      <c r="C200" s="147"/>
      <c r="D200" s="148"/>
      <c r="E200" s="16" t="s">
        <v>80</v>
      </c>
      <c r="F200" s="68">
        <f>I200</f>
        <v>200000</v>
      </c>
      <c r="G200" s="76">
        <v>1</v>
      </c>
      <c r="H200" s="68">
        <f>I200</f>
        <v>200000</v>
      </c>
      <c r="I200" s="24">
        <v>200000</v>
      </c>
      <c r="J200" s="17"/>
      <c r="K200" s="17"/>
      <c r="L200" s="17">
        <f>100000-100000</f>
        <v>0</v>
      </c>
      <c r="M200" s="17">
        <v>100000</v>
      </c>
      <c r="N200" s="17">
        <v>100000</v>
      </c>
      <c r="O200" s="17">
        <v>-45000</v>
      </c>
      <c r="P200" s="17">
        <v>45000</v>
      </c>
      <c r="Q200" s="17"/>
      <c r="R200" s="17"/>
      <c r="S200" s="17"/>
      <c r="T200" s="17"/>
      <c r="U200" s="17"/>
      <c r="V200" s="17">
        <f t="shared" si="20"/>
        <v>0</v>
      </c>
      <c r="W200" s="17">
        <f>99791.7+28321.44+25992.04</f>
        <v>154105.18</v>
      </c>
    </row>
    <row r="201" spans="1:23" ht="37.5">
      <c r="A201" s="147"/>
      <c r="B201" s="134"/>
      <c r="C201" s="147"/>
      <c r="D201" s="148"/>
      <c r="E201" s="16" t="s">
        <v>81</v>
      </c>
      <c r="F201" s="68">
        <f>I201</f>
        <v>100000</v>
      </c>
      <c r="G201" s="76">
        <v>1</v>
      </c>
      <c r="H201" s="68">
        <f>I201</f>
        <v>100000</v>
      </c>
      <c r="I201" s="24">
        <v>100000</v>
      </c>
      <c r="J201" s="17"/>
      <c r="K201" s="17"/>
      <c r="L201" s="17"/>
      <c r="M201" s="17"/>
      <c r="N201" s="17"/>
      <c r="O201" s="17">
        <f>50000-50000</f>
        <v>0</v>
      </c>
      <c r="P201" s="17">
        <f>50000+50000</f>
        <v>100000</v>
      </c>
      <c r="Q201" s="17"/>
      <c r="R201" s="17"/>
      <c r="S201" s="17"/>
      <c r="T201" s="17"/>
      <c r="U201" s="17"/>
      <c r="V201" s="17">
        <f t="shared" si="20"/>
        <v>0</v>
      </c>
      <c r="W201" s="17"/>
    </row>
    <row r="202" spans="1:23" ht="37.5">
      <c r="A202" s="147"/>
      <c r="B202" s="133"/>
      <c r="C202" s="147"/>
      <c r="D202" s="148"/>
      <c r="E202" s="20" t="s">
        <v>82</v>
      </c>
      <c r="F202" s="68">
        <f>I202</f>
        <v>320000</v>
      </c>
      <c r="G202" s="76">
        <v>1</v>
      </c>
      <c r="H202" s="68">
        <f>I202</f>
        <v>320000</v>
      </c>
      <c r="I202" s="24">
        <v>320000</v>
      </c>
      <c r="J202" s="17"/>
      <c r="K202" s="17"/>
      <c r="L202" s="17"/>
      <c r="M202" s="17">
        <v>20000</v>
      </c>
      <c r="N202" s="17"/>
      <c r="O202" s="17">
        <f>120000-135000</f>
        <v>-15000</v>
      </c>
      <c r="P202" s="17">
        <f>80000-35000</f>
        <v>45000</v>
      </c>
      <c r="Q202" s="17"/>
      <c r="R202" s="17">
        <v>100000</v>
      </c>
      <c r="S202" s="17"/>
      <c r="T202" s="17"/>
      <c r="U202" s="17">
        <v>100000</v>
      </c>
      <c r="V202" s="17">
        <f t="shared" si="20"/>
        <v>70000</v>
      </c>
      <c r="W202" s="17">
        <f>4471.2</f>
        <v>4471.2</v>
      </c>
    </row>
    <row r="203" spans="1:23" ht="18" hidden="1">
      <c r="A203" s="147" t="s">
        <v>786</v>
      </c>
      <c r="B203" s="23"/>
      <c r="C203" s="147" t="s">
        <v>787</v>
      </c>
      <c r="D203" s="148" t="s">
        <v>788</v>
      </c>
      <c r="E203" s="16"/>
      <c r="F203" s="16"/>
      <c r="G203" s="16"/>
      <c r="H203" s="16"/>
      <c r="I203" s="50">
        <f>I204</f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0"/>
        <v>0</v>
      </c>
      <c r="W203" s="17"/>
    </row>
    <row r="204" spans="1:23" ht="18" hidden="1">
      <c r="A204" s="147"/>
      <c r="B204" s="23"/>
      <c r="C204" s="147"/>
      <c r="D204" s="148"/>
      <c r="E204" s="16"/>
      <c r="F204" s="16"/>
      <c r="G204" s="16"/>
      <c r="H204" s="16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0"/>
        <v>0</v>
      </c>
      <c r="W204" s="17"/>
    </row>
    <row r="205" spans="1:23" ht="18" hidden="1">
      <c r="A205" s="147" t="s">
        <v>789</v>
      </c>
      <c r="B205" s="23"/>
      <c r="C205" s="147" t="s">
        <v>790</v>
      </c>
      <c r="D205" s="148" t="s">
        <v>791</v>
      </c>
      <c r="E205" s="16"/>
      <c r="F205" s="16"/>
      <c r="G205" s="16"/>
      <c r="H205" s="16"/>
      <c r="I205" s="50">
        <f>SUM(I206)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0"/>
        <v>0</v>
      </c>
      <c r="W205" s="17"/>
    </row>
    <row r="206" spans="1:23" ht="18" hidden="1">
      <c r="A206" s="147"/>
      <c r="B206" s="23"/>
      <c r="C206" s="147"/>
      <c r="D206" s="148"/>
      <c r="E206" s="16"/>
      <c r="F206" s="16"/>
      <c r="G206" s="16"/>
      <c r="H206" s="16"/>
      <c r="I206" s="24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0"/>
        <v>0</v>
      </c>
      <c r="W206" s="17"/>
    </row>
    <row r="207" spans="1:23" ht="18" hidden="1">
      <c r="A207" s="147" t="s">
        <v>792</v>
      </c>
      <c r="B207" s="23"/>
      <c r="C207" s="147" t="s">
        <v>793</v>
      </c>
      <c r="D207" s="148" t="s">
        <v>701</v>
      </c>
      <c r="E207" s="16"/>
      <c r="F207" s="16"/>
      <c r="G207" s="16"/>
      <c r="H207" s="16"/>
      <c r="I207" s="50">
        <f>SUM(I208)</f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0"/>
        <v>0</v>
      </c>
      <c r="W207" s="17"/>
    </row>
    <row r="208" spans="1:23" ht="18" hidden="1">
      <c r="A208" s="147"/>
      <c r="B208" s="23"/>
      <c r="C208" s="147"/>
      <c r="D208" s="148"/>
      <c r="E208" s="20"/>
      <c r="F208" s="20"/>
      <c r="G208" s="20"/>
      <c r="H208" s="20"/>
      <c r="I208" s="21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>
        <f t="shared" si="20"/>
        <v>0</v>
      </c>
      <c r="W208" s="17"/>
    </row>
    <row r="209" spans="1:23" ht="18" hidden="1">
      <c r="A209" s="132" t="s">
        <v>702</v>
      </c>
      <c r="B209" s="25"/>
      <c r="C209" s="132" t="s">
        <v>793</v>
      </c>
      <c r="D209" s="145" t="s">
        <v>742</v>
      </c>
      <c r="E209" s="16"/>
      <c r="F209" s="16"/>
      <c r="G209" s="16"/>
      <c r="H209" s="16"/>
      <c r="I209" s="50">
        <f>SUM(I210:I211)</f>
        <v>0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>
        <f t="shared" si="20"/>
        <v>0</v>
      </c>
      <c r="W209" s="17"/>
    </row>
    <row r="210" spans="1:23" ht="18" hidden="1">
      <c r="A210" s="134"/>
      <c r="B210" s="26"/>
      <c r="C210" s="134"/>
      <c r="D210" s="146"/>
      <c r="E210" s="27"/>
      <c r="F210" s="27"/>
      <c r="G210" s="27"/>
      <c r="H210" s="27"/>
      <c r="I210" s="24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>
        <f t="shared" si="20"/>
        <v>0</v>
      </c>
      <c r="W210" s="17"/>
    </row>
    <row r="211" spans="1:23" ht="18" hidden="1">
      <c r="A211" s="134"/>
      <c r="B211" s="26"/>
      <c r="C211" s="134"/>
      <c r="D211" s="146"/>
      <c r="E211" s="27"/>
      <c r="F211" s="27"/>
      <c r="G211" s="27"/>
      <c r="H211" s="27"/>
      <c r="I211" s="24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>
        <f t="shared" si="20"/>
        <v>0</v>
      </c>
      <c r="W211" s="17"/>
    </row>
    <row r="212" spans="1:23" ht="18" hidden="1">
      <c r="A212" s="147" t="s">
        <v>743</v>
      </c>
      <c r="B212" s="25"/>
      <c r="C212" s="132" t="s">
        <v>793</v>
      </c>
      <c r="D212" s="145" t="s">
        <v>747</v>
      </c>
      <c r="E212" s="27"/>
      <c r="F212" s="27"/>
      <c r="G212" s="27"/>
      <c r="H212" s="27"/>
      <c r="I212" s="50">
        <f>I213</f>
        <v>0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>
        <f t="shared" si="20"/>
        <v>0</v>
      </c>
      <c r="W212" s="17"/>
    </row>
    <row r="213" spans="1:23" ht="18" hidden="1">
      <c r="A213" s="147"/>
      <c r="B213" s="28"/>
      <c r="C213" s="133"/>
      <c r="D213" s="135"/>
      <c r="E213" s="27"/>
      <c r="F213" s="27"/>
      <c r="G213" s="27"/>
      <c r="H213" s="27"/>
      <c r="I213" s="24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>
        <f t="shared" si="20"/>
        <v>0</v>
      </c>
      <c r="W213" s="17"/>
    </row>
    <row r="214" spans="1:23" ht="18.75">
      <c r="A214" s="132" t="s">
        <v>695</v>
      </c>
      <c r="B214" s="132" t="s">
        <v>1027</v>
      </c>
      <c r="C214" s="132" t="s">
        <v>748</v>
      </c>
      <c r="D214" s="145" t="s">
        <v>679</v>
      </c>
      <c r="E214" s="29"/>
      <c r="F214" s="29"/>
      <c r="G214" s="29"/>
      <c r="H214" s="29"/>
      <c r="I214" s="35">
        <f>SUM(I215:I216)</f>
        <v>460000</v>
      </c>
      <c r="J214" s="35">
        <f aca="true" t="shared" si="25" ref="J214:W214">SUM(J215:J216)</f>
        <v>0</v>
      </c>
      <c r="K214" s="35">
        <f t="shared" si="25"/>
        <v>0</v>
      </c>
      <c r="L214" s="35">
        <f t="shared" si="25"/>
        <v>0</v>
      </c>
      <c r="M214" s="35">
        <f t="shared" si="25"/>
        <v>0</v>
      </c>
      <c r="N214" s="35">
        <f t="shared" si="25"/>
        <v>0</v>
      </c>
      <c r="O214" s="35">
        <f t="shared" si="25"/>
        <v>0</v>
      </c>
      <c r="P214" s="35">
        <f t="shared" si="25"/>
        <v>60000</v>
      </c>
      <c r="Q214" s="35">
        <f t="shared" si="25"/>
        <v>120000</v>
      </c>
      <c r="R214" s="35">
        <f t="shared" si="25"/>
        <v>70000</v>
      </c>
      <c r="S214" s="35">
        <f t="shared" si="25"/>
        <v>10000</v>
      </c>
      <c r="T214" s="35">
        <f t="shared" si="25"/>
        <v>60000</v>
      </c>
      <c r="U214" s="35">
        <f t="shared" si="25"/>
        <v>140000</v>
      </c>
      <c r="V214" s="35">
        <f t="shared" si="25"/>
        <v>0</v>
      </c>
      <c r="W214" s="35">
        <f t="shared" si="25"/>
        <v>0</v>
      </c>
    </row>
    <row r="215" spans="1:23" ht="56.25">
      <c r="A215" s="134"/>
      <c r="B215" s="134"/>
      <c r="C215" s="134"/>
      <c r="D215" s="146"/>
      <c r="E215" s="16" t="s">
        <v>83</v>
      </c>
      <c r="F215" s="68">
        <f>I215</f>
        <v>340000</v>
      </c>
      <c r="G215" s="76">
        <v>1</v>
      </c>
      <c r="H215" s="68">
        <f>I215</f>
        <v>340000</v>
      </c>
      <c r="I215" s="24">
        <v>340000</v>
      </c>
      <c r="J215" s="17"/>
      <c r="K215" s="17"/>
      <c r="L215" s="17"/>
      <c r="M215" s="17"/>
      <c r="N215" s="17"/>
      <c r="O215" s="17">
        <f>80000-80000</f>
        <v>0</v>
      </c>
      <c r="P215" s="17"/>
      <c r="Q215" s="17">
        <v>60000</v>
      </c>
      <c r="R215" s="17">
        <v>70000</v>
      </c>
      <c r="S215" s="17">
        <v>10000</v>
      </c>
      <c r="T215" s="17">
        <v>60000</v>
      </c>
      <c r="U215" s="17">
        <v>140000</v>
      </c>
      <c r="V215" s="17">
        <f aca="true" t="shared" si="26" ref="V215:V285">I215-J215-K215-L215-M215-N215-O215-P215-Q215-R215-S215-T215-U215</f>
        <v>0</v>
      </c>
      <c r="W215" s="17"/>
    </row>
    <row r="216" spans="1:23" ht="56.25">
      <c r="A216" s="134"/>
      <c r="B216" s="133"/>
      <c r="C216" s="134"/>
      <c r="D216" s="146"/>
      <c r="E216" s="16" t="s">
        <v>817</v>
      </c>
      <c r="F216" s="68">
        <f>I216</f>
        <v>120000</v>
      </c>
      <c r="G216" s="76">
        <v>1</v>
      </c>
      <c r="H216" s="68">
        <f>I216</f>
        <v>120000</v>
      </c>
      <c r="I216" s="24">
        <v>120000</v>
      </c>
      <c r="J216" s="17"/>
      <c r="K216" s="17"/>
      <c r="L216" s="17"/>
      <c r="M216" s="17"/>
      <c r="N216" s="17"/>
      <c r="O216" s="17">
        <f>60000-60000</f>
        <v>0</v>
      </c>
      <c r="P216" s="17">
        <v>60000</v>
      </c>
      <c r="Q216" s="17">
        <v>60000</v>
      </c>
      <c r="R216" s="17"/>
      <c r="S216" s="17"/>
      <c r="T216" s="17"/>
      <c r="U216" s="17"/>
      <c r="V216" s="17">
        <f t="shared" si="26"/>
        <v>0</v>
      </c>
      <c r="W216" s="17"/>
    </row>
    <row r="217" spans="1:23" ht="18" hidden="1">
      <c r="A217" s="132" t="s">
        <v>749</v>
      </c>
      <c r="B217" s="25"/>
      <c r="C217" s="132" t="s">
        <v>750</v>
      </c>
      <c r="D217" s="145" t="s">
        <v>751</v>
      </c>
      <c r="E217" s="20"/>
      <c r="F217" s="20"/>
      <c r="G217" s="20"/>
      <c r="H217" s="20"/>
      <c r="I217" s="10">
        <f>SUM(I218:I219)</f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18" hidden="1">
      <c r="A218" s="134"/>
      <c r="B218" s="26"/>
      <c r="C218" s="134"/>
      <c r="D218" s="146"/>
      <c r="E218" s="20"/>
      <c r="F218" s="20"/>
      <c r="G218" s="20"/>
      <c r="H218" s="20"/>
      <c r="I218" s="2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>
        <f t="shared" si="26"/>
        <v>0</v>
      </c>
      <c r="W218" s="17"/>
    </row>
    <row r="219" spans="1:23" ht="18" hidden="1">
      <c r="A219" s="134"/>
      <c r="B219" s="26"/>
      <c r="C219" s="134"/>
      <c r="D219" s="146"/>
      <c r="E219" s="27"/>
      <c r="F219" s="27"/>
      <c r="G219" s="27"/>
      <c r="H219" s="27"/>
      <c r="I219" s="24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47" t="s">
        <v>752</v>
      </c>
      <c r="B220" s="23"/>
      <c r="C220" s="147" t="s">
        <v>750</v>
      </c>
      <c r="D220" s="148" t="s">
        <v>753</v>
      </c>
      <c r="E220" s="29"/>
      <c r="F220" s="29"/>
      <c r="G220" s="29"/>
      <c r="H220" s="29"/>
      <c r="I220" s="35">
        <f>SUM(I221:I222)</f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" hidden="1">
      <c r="A221" s="147"/>
      <c r="B221" s="23"/>
      <c r="C221" s="147"/>
      <c r="D221" s="148"/>
      <c r="E221" s="29"/>
      <c r="F221" s="29"/>
      <c r="G221" s="29"/>
      <c r="H221" s="29"/>
      <c r="I221" s="30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>
        <f t="shared" si="26"/>
        <v>0</v>
      </c>
      <c r="W221" s="17"/>
    </row>
    <row r="222" spans="1:23" ht="18" hidden="1">
      <c r="A222" s="147"/>
      <c r="B222" s="23"/>
      <c r="C222" s="147"/>
      <c r="D222" s="148"/>
      <c r="E222" s="29"/>
      <c r="F222" s="29"/>
      <c r="G222" s="29"/>
      <c r="H222" s="29"/>
      <c r="I222" s="30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>
        <f t="shared" si="26"/>
        <v>0</v>
      </c>
      <c r="W222" s="17"/>
    </row>
    <row r="223" spans="1:23" ht="18.75">
      <c r="A223" s="132" t="s">
        <v>696</v>
      </c>
      <c r="B223" s="132" t="s">
        <v>952</v>
      </c>
      <c r="C223" s="132" t="s">
        <v>754</v>
      </c>
      <c r="D223" s="145" t="s">
        <v>661</v>
      </c>
      <c r="E223" s="31"/>
      <c r="F223" s="31"/>
      <c r="G223" s="31"/>
      <c r="H223" s="31"/>
      <c r="I223" s="35">
        <f>SUM(I224:I225)</f>
        <v>134000</v>
      </c>
      <c r="J223" s="35">
        <f aca="true" t="shared" si="27" ref="J223:W223">SUM(J224:J225)</f>
        <v>0</v>
      </c>
      <c r="K223" s="35">
        <f t="shared" si="27"/>
        <v>0</v>
      </c>
      <c r="L223" s="35">
        <f t="shared" si="27"/>
        <v>0</v>
      </c>
      <c r="M223" s="35">
        <f t="shared" si="27"/>
        <v>0</v>
      </c>
      <c r="N223" s="35">
        <f t="shared" si="27"/>
        <v>0</v>
      </c>
      <c r="O223" s="35">
        <f t="shared" si="27"/>
        <v>0</v>
      </c>
      <c r="P223" s="35">
        <f t="shared" si="27"/>
        <v>0</v>
      </c>
      <c r="Q223" s="35">
        <f t="shared" si="27"/>
        <v>100000</v>
      </c>
      <c r="R223" s="35">
        <f t="shared" si="27"/>
        <v>34000</v>
      </c>
      <c r="S223" s="35">
        <f t="shared" si="27"/>
        <v>0</v>
      </c>
      <c r="T223" s="35">
        <f t="shared" si="27"/>
        <v>0</v>
      </c>
      <c r="U223" s="35">
        <f t="shared" si="27"/>
        <v>0</v>
      </c>
      <c r="V223" s="35">
        <f t="shared" si="27"/>
        <v>0</v>
      </c>
      <c r="W223" s="35">
        <f t="shared" si="27"/>
        <v>0</v>
      </c>
    </row>
    <row r="224" spans="1:23" ht="75">
      <c r="A224" s="134"/>
      <c r="B224" s="134"/>
      <c r="C224" s="134"/>
      <c r="D224" s="146"/>
      <c r="E224" s="29" t="s">
        <v>1024</v>
      </c>
      <c r="F224" s="31"/>
      <c r="G224" s="31"/>
      <c r="H224" s="31"/>
      <c r="I224" s="30">
        <f>20000+14000</f>
        <v>34000</v>
      </c>
      <c r="J224" s="17"/>
      <c r="K224" s="17"/>
      <c r="L224" s="17"/>
      <c r="M224" s="17"/>
      <c r="N224" s="17"/>
      <c r="O224" s="17"/>
      <c r="P224" s="17"/>
      <c r="Q224" s="17"/>
      <c r="R224" s="17">
        <f>20000+14000</f>
        <v>34000</v>
      </c>
      <c r="S224" s="17"/>
      <c r="T224" s="17"/>
      <c r="U224" s="17"/>
      <c r="V224" s="17">
        <f t="shared" si="26"/>
        <v>0</v>
      </c>
      <c r="W224" s="17"/>
    </row>
    <row r="225" spans="1:23" ht="75">
      <c r="A225" s="26"/>
      <c r="B225" s="26"/>
      <c r="C225" s="26"/>
      <c r="D225" s="128"/>
      <c r="E225" s="29" t="s">
        <v>323</v>
      </c>
      <c r="F225" s="31"/>
      <c r="G225" s="31"/>
      <c r="H225" s="31"/>
      <c r="I225" s="30">
        <v>100000</v>
      </c>
      <c r="J225" s="17"/>
      <c r="K225" s="17"/>
      <c r="L225" s="17"/>
      <c r="M225" s="17"/>
      <c r="N225" s="17"/>
      <c r="O225" s="17"/>
      <c r="P225" s="17"/>
      <c r="Q225" s="17">
        <v>100000</v>
      </c>
      <c r="R225" s="17"/>
      <c r="S225" s="17"/>
      <c r="T225" s="17"/>
      <c r="U225" s="17"/>
      <c r="V225" s="17">
        <f>I225-J225-K225-L225-M225-N225-O225-P225-Q225-R225-S225-T225-U225</f>
        <v>0</v>
      </c>
      <c r="W225" s="17"/>
    </row>
    <row r="226" spans="1:23" ht="18.75">
      <c r="A226" s="132" t="s">
        <v>662</v>
      </c>
      <c r="B226" s="132" t="s">
        <v>1028</v>
      </c>
      <c r="C226" s="132" t="s">
        <v>591</v>
      </c>
      <c r="D226" s="145" t="s">
        <v>755</v>
      </c>
      <c r="E226" s="20"/>
      <c r="F226" s="20"/>
      <c r="G226" s="20"/>
      <c r="H226" s="20"/>
      <c r="I226" s="10">
        <f>SUM(I227:I235)</f>
        <v>2336600</v>
      </c>
      <c r="J226" s="10">
        <f aca="true" t="shared" si="28" ref="J226:W226">SUM(J227:J235)</f>
        <v>0</v>
      </c>
      <c r="K226" s="10">
        <f t="shared" si="28"/>
        <v>0</v>
      </c>
      <c r="L226" s="10">
        <f t="shared" si="28"/>
        <v>0</v>
      </c>
      <c r="M226" s="10">
        <f t="shared" si="28"/>
        <v>0</v>
      </c>
      <c r="N226" s="10">
        <f t="shared" si="28"/>
        <v>0</v>
      </c>
      <c r="O226" s="10">
        <f t="shared" si="28"/>
        <v>3000</v>
      </c>
      <c r="P226" s="10">
        <f t="shared" si="28"/>
        <v>740600</v>
      </c>
      <c r="Q226" s="10">
        <f t="shared" si="28"/>
        <v>717000</v>
      </c>
      <c r="R226" s="10">
        <f t="shared" si="28"/>
        <v>91000</v>
      </c>
      <c r="S226" s="10">
        <f t="shared" si="28"/>
        <v>290000</v>
      </c>
      <c r="T226" s="10">
        <f t="shared" si="28"/>
        <v>395000</v>
      </c>
      <c r="U226" s="10">
        <f t="shared" si="28"/>
        <v>100000</v>
      </c>
      <c r="V226" s="10">
        <f t="shared" si="28"/>
        <v>0</v>
      </c>
      <c r="W226" s="10">
        <f t="shared" si="28"/>
        <v>0</v>
      </c>
    </row>
    <row r="227" spans="1:23" ht="37.5">
      <c r="A227" s="134"/>
      <c r="B227" s="134"/>
      <c r="C227" s="134"/>
      <c r="D227" s="146"/>
      <c r="E227" s="20" t="s">
        <v>818</v>
      </c>
      <c r="F227" s="20"/>
      <c r="G227" s="20"/>
      <c r="H227" s="20"/>
      <c r="I227" s="30">
        <f>50000-14000</f>
        <v>36000</v>
      </c>
      <c r="J227" s="17"/>
      <c r="K227" s="17"/>
      <c r="L227" s="30"/>
      <c r="M227" s="17"/>
      <c r="N227" s="17"/>
      <c r="O227" s="17"/>
      <c r="P227" s="17"/>
      <c r="Q227" s="17"/>
      <c r="R227" s="17">
        <f>50000-14000</f>
        <v>36000</v>
      </c>
      <c r="S227" s="17"/>
      <c r="T227" s="17"/>
      <c r="U227" s="17"/>
      <c r="V227" s="17">
        <f t="shared" si="26"/>
        <v>0</v>
      </c>
      <c r="W227" s="17"/>
    </row>
    <row r="228" spans="1:23" ht="36" customHeight="1" hidden="1">
      <c r="A228" s="134"/>
      <c r="B228" s="134"/>
      <c r="C228" s="134"/>
      <c r="D228" s="146"/>
      <c r="E228" s="20" t="s">
        <v>819</v>
      </c>
      <c r="F228" s="68">
        <f>I228</f>
        <v>0</v>
      </c>
      <c r="G228" s="76">
        <v>1</v>
      </c>
      <c r="H228" s="68">
        <f aca="true" t="shared" si="29" ref="H228:H235">I228</f>
        <v>0</v>
      </c>
      <c r="I228" s="30">
        <f>1000000-970000-6586-23414</f>
        <v>0</v>
      </c>
      <c r="J228" s="17"/>
      <c r="K228" s="17"/>
      <c r="L228" s="17"/>
      <c r="M228" s="17"/>
      <c r="N228" s="17"/>
      <c r="O228" s="17">
        <f>30000-6586-23414</f>
        <v>0</v>
      </c>
      <c r="P228" s="17"/>
      <c r="Q228" s="17"/>
      <c r="R228" s="17"/>
      <c r="S228" s="17"/>
      <c r="T228" s="17"/>
      <c r="U228" s="17"/>
      <c r="V228" s="17">
        <f>I228-J228-K228-L228-M228-N228-O228-P228-Q228-R228-S228-T228-U228</f>
        <v>0</v>
      </c>
      <c r="W228" s="17"/>
    </row>
    <row r="229" spans="1:23" ht="36" hidden="1">
      <c r="A229" s="134"/>
      <c r="B229" s="134"/>
      <c r="C229" s="134"/>
      <c r="D229" s="146"/>
      <c r="E229" s="20" t="s">
        <v>820</v>
      </c>
      <c r="F229" s="68">
        <f aca="true" t="shared" si="30" ref="F229:F235">I229</f>
        <v>0</v>
      </c>
      <c r="G229" s="76">
        <v>1</v>
      </c>
      <c r="H229" s="68">
        <f t="shared" si="29"/>
        <v>0</v>
      </c>
      <c r="I229" s="30">
        <f>1470000-1470000</f>
        <v>0</v>
      </c>
      <c r="J229" s="17"/>
      <c r="K229" s="17"/>
      <c r="L229" s="17"/>
      <c r="M229" s="17"/>
      <c r="N229" s="17"/>
      <c r="O229" s="17">
        <f>225000-225000</f>
        <v>0</v>
      </c>
      <c r="P229" s="17">
        <f>470000-470000</f>
        <v>0</v>
      </c>
      <c r="Q229" s="17">
        <f>575000-575000</f>
        <v>0</v>
      </c>
      <c r="R229" s="17"/>
      <c r="S229" s="17"/>
      <c r="T229" s="17">
        <f>200000-200000</f>
        <v>0</v>
      </c>
      <c r="U229" s="17"/>
      <c r="V229" s="17">
        <f>I229-J229-K229-L229-M229-N229-O229-P229-Q229-R229-S229-T229-U229</f>
        <v>0</v>
      </c>
      <c r="W229" s="17"/>
    </row>
    <row r="230" spans="1:23" ht="44.25" customHeight="1" hidden="1">
      <c r="A230" s="134"/>
      <c r="B230" s="134"/>
      <c r="C230" s="134"/>
      <c r="D230" s="146"/>
      <c r="E230" s="20" t="s">
        <v>821</v>
      </c>
      <c r="F230" s="68">
        <f t="shared" si="30"/>
        <v>0</v>
      </c>
      <c r="G230" s="76">
        <v>1</v>
      </c>
      <c r="H230" s="68">
        <f t="shared" si="29"/>
        <v>0</v>
      </c>
      <c r="I230" s="30">
        <f>200000-200000</f>
        <v>0</v>
      </c>
      <c r="J230" s="17"/>
      <c r="K230" s="17"/>
      <c r="L230" s="17"/>
      <c r="M230" s="17"/>
      <c r="N230" s="17"/>
      <c r="O230" s="17">
        <f>15000+150000-165000</f>
        <v>0</v>
      </c>
      <c r="P230" s="17"/>
      <c r="Q230" s="17">
        <f>65000-65000</f>
        <v>0</v>
      </c>
      <c r="R230" s="17"/>
      <c r="S230" s="17">
        <f>60000-60000</f>
        <v>0</v>
      </c>
      <c r="T230" s="17">
        <f>60000-25000-35000</f>
        <v>0</v>
      </c>
      <c r="U230" s="17"/>
      <c r="V230" s="17">
        <f>I230-J230-K230-L230-M230-N230-O230-P230-Q230-R230-S230-T230-U230</f>
        <v>0</v>
      </c>
      <c r="W230" s="17"/>
    </row>
    <row r="231" spans="1:23" ht="44.25" customHeight="1">
      <c r="A231" s="134"/>
      <c r="B231" s="134"/>
      <c r="C231" s="134"/>
      <c r="D231" s="146"/>
      <c r="E231" s="20" t="s">
        <v>322</v>
      </c>
      <c r="F231" s="68"/>
      <c r="G231" s="76"/>
      <c r="H231" s="68"/>
      <c r="I231" s="30">
        <v>200000</v>
      </c>
      <c r="J231" s="17"/>
      <c r="K231" s="17"/>
      <c r="L231" s="17"/>
      <c r="M231" s="17"/>
      <c r="N231" s="17"/>
      <c r="O231" s="17">
        <f>165000-162000</f>
        <v>3000</v>
      </c>
      <c r="P231" s="17"/>
      <c r="Q231" s="17">
        <f>17000</f>
        <v>17000</v>
      </c>
      <c r="R231" s="17">
        <f>55000</f>
        <v>55000</v>
      </c>
      <c r="S231" s="17">
        <f>90000</f>
        <v>90000</v>
      </c>
      <c r="T231" s="17">
        <v>35000</v>
      </c>
      <c r="U231" s="17"/>
      <c r="V231" s="17">
        <f>I231-J231-K231-L231-M231-N231-O231-P231-Q231-R231-S231-T231-U231</f>
        <v>0</v>
      </c>
      <c r="W231" s="17"/>
    </row>
    <row r="232" spans="1:23" ht="37.5">
      <c r="A232" s="134"/>
      <c r="B232" s="134"/>
      <c r="C232" s="134"/>
      <c r="D232" s="146"/>
      <c r="E232" s="20" t="s">
        <v>822</v>
      </c>
      <c r="F232" s="68">
        <f t="shared" si="30"/>
        <v>410600</v>
      </c>
      <c r="G232" s="76">
        <v>1</v>
      </c>
      <c r="H232" s="68">
        <f t="shared" si="29"/>
        <v>410600</v>
      </c>
      <c r="I232" s="30">
        <v>410600</v>
      </c>
      <c r="J232" s="17"/>
      <c r="K232" s="17"/>
      <c r="L232" s="17"/>
      <c r="M232" s="17"/>
      <c r="N232" s="17"/>
      <c r="O232" s="17">
        <f>20000-20000</f>
        <v>0</v>
      </c>
      <c r="P232" s="17">
        <f>70600+20000</f>
        <v>90600</v>
      </c>
      <c r="Q232" s="17">
        <v>200000</v>
      </c>
      <c r="R232" s="17"/>
      <c r="S232" s="17">
        <v>60000</v>
      </c>
      <c r="T232" s="17">
        <v>60000</v>
      </c>
      <c r="U232" s="17"/>
      <c r="V232" s="17">
        <f t="shared" si="26"/>
        <v>0</v>
      </c>
      <c r="W232" s="17"/>
    </row>
    <row r="233" spans="1:23" ht="75">
      <c r="A233" s="134"/>
      <c r="B233" s="134"/>
      <c r="C233" s="134"/>
      <c r="D233" s="146"/>
      <c r="E233" s="20" t="s">
        <v>1002</v>
      </c>
      <c r="F233" s="68">
        <f t="shared" si="30"/>
        <v>1300000</v>
      </c>
      <c r="G233" s="76">
        <v>1</v>
      </c>
      <c r="H233" s="68">
        <f t="shared" si="29"/>
        <v>1300000</v>
      </c>
      <c r="I233" s="30">
        <v>1300000</v>
      </c>
      <c r="J233" s="17"/>
      <c r="K233" s="17"/>
      <c r="L233" s="17"/>
      <c r="M233" s="17"/>
      <c r="N233" s="17"/>
      <c r="O233" s="17">
        <f>25000-25000</f>
        <v>0</v>
      </c>
      <c r="P233" s="17">
        <f>300000+25000</f>
        <v>325000</v>
      </c>
      <c r="Q233" s="17">
        <v>475000</v>
      </c>
      <c r="R233" s="17"/>
      <c r="S233" s="17">
        <v>100000</v>
      </c>
      <c r="T233" s="17">
        <v>300000</v>
      </c>
      <c r="U233" s="17">
        <v>100000</v>
      </c>
      <c r="V233" s="17">
        <f t="shared" si="26"/>
        <v>0</v>
      </c>
      <c r="W233" s="17"/>
    </row>
    <row r="234" spans="1:23" ht="63" customHeight="1">
      <c r="A234" s="134"/>
      <c r="B234" s="134"/>
      <c r="C234" s="134"/>
      <c r="D234" s="146"/>
      <c r="E234" s="20" t="s">
        <v>823</v>
      </c>
      <c r="F234" s="68">
        <f t="shared" si="30"/>
        <v>240000</v>
      </c>
      <c r="G234" s="76">
        <v>1</v>
      </c>
      <c r="H234" s="68">
        <f t="shared" si="29"/>
        <v>240000</v>
      </c>
      <c r="I234" s="30">
        <v>240000</v>
      </c>
      <c r="J234" s="17"/>
      <c r="K234" s="17"/>
      <c r="L234" s="17"/>
      <c r="M234" s="17"/>
      <c r="N234" s="17"/>
      <c r="O234" s="17">
        <f>140000-140000</f>
        <v>0</v>
      </c>
      <c r="P234" s="17">
        <f>100000+140000</f>
        <v>240000</v>
      </c>
      <c r="Q234" s="17"/>
      <c r="R234" s="17"/>
      <c r="S234" s="17"/>
      <c r="T234" s="17"/>
      <c r="U234" s="17"/>
      <c r="V234" s="17">
        <f t="shared" si="26"/>
        <v>0</v>
      </c>
      <c r="W234" s="17"/>
    </row>
    <row r="235" spans="1:23" ht="56.25">
      <c r="A235" s="134"/>
      <c r="B235" s="133"/>
      <c r="C235" s="134"/>
      <c r="D235" s="146"/>
      <c r="E235" s="20" t="s">
        <v>824</v>
      </c>
      <c r="F235" s="68">
        <f t="shared" si="30"/>
        <v>150000</v>
      </c>
      <c r="G235" s="76">
        <v>1</v>
      </c>
      <c r="H235" s="68">
        <f t="shared" si="29"/>
        <v>150000</v>
      </c>
      <c r="I235" s="30">
        <v>150000</v>
      </c>
      <c r="J235" s="17"/>
      <c r="K235" s="17"/>
      <c r="L235" s="17"/>
      <c r="M235" s="17"/>
      <c r="N235" s="17"/>
      <c r="O235" s="17">
        <f>55000-55000</f>
        <v>0</v>
      </c>
      <c r="P235" s="17">
        <f>30000+55000</f>
        <v>85000</v>
      </c>
      <c r="Q235" s="17">
        <v>25000</v>
      </c>
      <c r="R235" s="17"/>
      <c r="S235" s="17">
        <v>40000</v>
      </c>
      <c r="T235" s="17"/>
      <c r="U235" s="17"/>
      <c r="V235" s="17">
        <f t="shared" si="26"/>
        <v>0</v>
      </c>
      <c r="W235" s="17"/>
    </row>
    <row r="236" spans="1:23" ht="18" hidden="1">
      <c r="A236" s="132" t="s">
        <v>756</v>
      </c>
      <c r="B236" s="25"/>
      <c r="C236" s="132" t="s">
        <v>757</v>
      </c>
      <c r="D236" s="145" t="s">
        <v>758</v>
      </c>
      <c r="E236" s="20"/>
      <c r="F236" s="20"/>
      <c r="G236" s="20"/>
      <c r="H236" s="20"/>
      <c r="I236" s="10">
        <f>SUM(I237:I237)</f>
        <v>0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>
        <f t="shared" si="26"/>
        <v>0</v>
      </c>
      <c r="W236" s="17"/>
    </row>
    <row r="237" spans="1:23" ht="18" hidden="1">
      <c r="A237" s="133"/>
      <c r="B237" s="28"/>
      <c r="C237" s="133"/>
      <c r="D237" s="135"/>
      <c r="E237" s="20"/>
      <c r="F237" s="20"/>
      <c r="G237" s="20"/>
      <c r="H237" s="20"/>
      <c r="I237" s="32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f t="shared" si="26"/>
        <v>0</v>
      </c>
      <c r="W237" s="17"/>
    </row>
    <row r="238" spans="1:23" ht="18.75" customHeight="1">
      <c r="A238" s="132" t="s">
        <v>225</v>
      </c>
      <c r="B238" s="132" t="s">
        <v>1029</v>
      </c>
      <c r="C238" s="132" t="s">
        <v>759</v>
      </c>
      <c r="D238" s="145" t="s">
        <v>663</v>
      </c>
      <c r="E238" s="20"/>
      <c r="F238" s="20"/>
      <c r="G238" s="20"/>
      <c r="H238" s="20"/>
      <c r="I238" s="10">
        <f>SUM(I239:I245)</f>
        <v>9920000</v>
      </c>
      <c r="J238" s="10">
        <f aca="true" t="shared" si="31" ref="J238:W238">SUM(J239:J245)</f>
        <v>0</v>
      </c>
      <c r="K238" s="10">
        <f t="shared" si="31"/>
        <v>0</v>
      </c>
      <c r="L238" s="10">
        <f t="shared" si="31"/>
        <v>1002000</v>
      </c>
      <c r="M238" s="10">
        <f t="shared" si="31"/>
        <v>485000</v>
      </c>
      <c r="N238" s="10">
        <f t="shared" si="31"/>
        <v>810000</v>
      </c>
      <c r="O238" s="10">
        <f t="shared" si="31"/>
        <v>2298000</v>
      </c>
      <c r="P238" s="10">
        <f t="shared" si="31"/>
        <v>1185000</v>
      </c>
      <c r="Q238" s="10">
        <f t="shared" si="31"/>
        <v>1381000</v>
      </c>
      <c r="R238" s="10">
        <f t="shared" si="31"/>
        <v>561000</v>
      </c>
      <c r="S238" s="10">
        <f t="shared" si="31"/>
        <v>734000</v>
      </c>
      <c r="T238" s="10">
        <f t="shared" si="31"/>
        <v>822000</v>
      </c>
      <c r="U238" s="10">
        <f t="shared" si="31"/>
        <v>642000</v>
      </c>
      <c r="V238" s="10">
        <f t="shared" si="31"/>
        <v>0</v>
      </c>
      <c r="W238" s="10">
        <f t="shared" si="31"/>
        <v>2737282.32</v>
      </c>
    </row>
    <row r="239" spans="1:23" ht="37.5">
      <c r="A239" s="134"/>
      <c r="B239" s="134"/>
      <c r="C239" s="134"/>
      <c r="D239" s="146"/>
      <c r="E239" s="20" t="s">
        <v>257</v>
      </c>
      <c r="F239" s="20"/>
      <c r="G239" s="20"/>
      <c r="H239" s="20"/>
      <c r="I239" s="21">
        <f>1000000-90000-30000</f>
        <v>880000</v>
      </c>
      <c r="J239" s="17"/>
      <c r="K239" s="17"/>
      <c r="L239" s="17"/>
      <c r="M239" s="17"/>
      <c r="N239" s="17"/>
      <c r="O239" s="17"/>
      <c r="P239" s="17"/>
      <c r="Q239" s="21">
        <f>1000000-90000-30000</f>
        <v>880000</v>
      </c>
      <c r="R239" s="17"/>
      <c r="S239" s="17"/>
      <c r="T239" s="17"/>
      <c r="U239" s="17"/>
      <c r="V239" s="17">
        <f t="shared" si="26"/>
        <v>0</v>
      </c>
      <c r="W239" s="17"/>
    </row>
    <row r="240" spans="1:23" ht="112.5">
      <c r="A240" s="134"/>
      <c r="B240" s="134"/>
      <c r="C240" s="134"/>
      <c r="D240" s="146"/>
      <c r="E240" s="20" t="s">
        <v>1093</v>
      </c>
      <c r="F240" s="20"/>
      <c r="G240" s="20"/>
      <c r="H240" s="20"/>
      <c r="I240" s="21">
        <f>4500000+90000</f>
        <v>4590000</v>
      </c>
      <c r="J240" s="17"/>
      <c r="K240" s="17"/>
      <c r="L240" s="17"/>
      <c r="M240" s="17"/>
      <c r="N240" s="17"/>
      <c r="O240" s="17">
        <v>1840000</v>
      </c>
      <c r="P240" s="17">
        <v>580000</v>
      </c>
      <c r="Q240" s="21">
        <f>411000+90000</f>
        <v>501000</v>
      </c>
      <c r="R240" s="17">
        <v>411000</v>
      </c>
      <c r="S240" s="17">
        <v>414000</v>
      </c>
      <c r="T240" s="17">
        <v>422000</v>
      </c>
      <c r="U240" s="17">
        <v>422000</v>
      </c>
      <c r="V240" s="17">
        <f>I240-J240-K240-L240-M240-N240-O240-P240-Q240-R240-S240-T240-U240</f>
        <v>0</v>
      </c>
      <c r="W240" s="17"/>
    </row>
    <row r="241" spans="1:23" ht="37.5">
      <c r="A241" s="134"/>
      <c r="B241" s="134"/>
      <c r="C241" s="134"/>
      <c r="D241" s="146"/>
      <c r="E241" s="20" t="s">
        <v>412</v>
      </c>
      <c r="F241" s="20"/>
      <c r="G241" s="20"/>
      <c r="H241" s="20"/>
      <c r="I241" s="21">
        <v>150000</v>
      </c>
      <c r="J241" s="17"/>
      <c r="K241" s="17"/>
      <c r="L241" s="17"/>
      <c r="M241" s="17"/>
      <c r="N241" s="17"/>
      <c r="O241" s="17"/>
      <c r="P241" s="17"/>
      <c r="Q241" s="17"/>
      <c r="R241" s="21">
        <v>50000</v>
      </c>
      <c r="S241" s="17"/>
      <c r="T241" s="17">
        <v>100000</v>
      </c>
      <c r="U241" s="17"/>
      <c r="V241" s="17">
        <f t="shared" si="26"/>
        <v>0</v>
      </c>
      <c r="W241" s="17"/>
    </row>
    <row r="242" spans="1:23" ht="75">
      <c r="A242" s="134"/>
      <c r="B242" s="134"/>
      <c r="C242" s="134"/>
      <c r="D242" s="146"/>
      <c r="E242" s="20" t="s">
        <v>258</v>
      </c>
      <c r="F242" s="68">
        <f>I242</f>
        <v>1000000</v>
      </c>
      <c r="G242" s="76">
        <v>1</v>
      </c>
      <c r="H242" s="68">
        <f>I242</f>
        <v>1000000</v>
      </c>
      <c r="I242" s="21">
        <v>1000000</v>
      </c>
      <c r="J242" s="17"/>
      <c r="K242" s="17"/>
      <c r="L242" s="17"/>
      <c r="M242" s="17"/>
      <c r="N242" s="17"/>
      <c r="O242" s="17"/>
      <c r="P242" s="17">
        <v>100000</v>
      </c>
      <c r="Q242" s="17"/>
      <c r="R242" s="17">
        <v>100000</v>
      </c>
      <c r="S242" s="17">
        <v>320000</v>
      </c>
      <c r="T242" s="17">
        <v>300000</v>
      </c>
      <c r="U242" s="17">
        <v>180000</v>
      </c>
      <c r="V242" s="17">
        <f t="shared" si="26"/>
        <v>0</v>
      </c>
      <c r="W242" s="17"/>
    </row>
    <row r="243" spans="1:23" ht="75">
      <c r="A243" s="134"/>
      <c r="B243" s="134"/>
      <c r="C243" s="134"/>
      <c r="D243" s="146"/>
      <c r="E243" s="29" t="s">
        <v>259</v>
      </c>
      <c r="F243" s="68">
        <f>I243</f>
        <v>2950000</v>
      </c>
      <c r="G243" s="76">
        <v>1</v>
      </c>
      <c r="H243" s="68">
        <f>I243</f>
        <v>2950000</v>
      </c>
      <c r="I243" s="30">
        <v>2950000</v>
      </c>
      <c r="J243" s="17"/>
      <c r="K243" s="17"/>
      <c r="L243" s="17">
        <v>1002000</v>
      </c>
      <c r="M243" s="17">
        <v>485000</v>
      </c>
      <c r="N243" s="17">
        <v>500000</v>
      </c>
      <c r="O243" s="17">
        <f>520000</f>
        <v>520000</v>
      </c>
      <c r="P243" s="17">
        <f>1248000-285000-520000</f>
        <v>443000</v>
      </c>
      <c r="Q243" s="17"/>
      <c r="R243" s="17"/>
      <c r="S243" s="17">
        <f>600000-385000-215000</f>
        <v>0</v>
      </c>
      <c r="T243" s="17">
        <f>100000-100000</f>
        <v>0</v>
      </c>
      <c r="U243" s="17"/>
      <c r="V243" s="17">
        <f t="shared" si="26"/>
        <v>0</v>
      </c>
      <c r="W243" s="17">
        <f>885000+599832+499435.2+512474.4</f>
        <v>2496741.6</v>
      </c>
    </row>
    <row r="244" spans="1:23" ht="112.5">
      <c r="A244" s="134"/>
      <c r="B244" s="134"/>
      <c r="C244" s="134"/>
      <c r="D244" s="146"/>
      <c r="E244" s="110" t="s">
        <v>413</v>
      </c>
      <c r="F244" s="68">
        <f>I244</f>
        <v>150000</v>
      </c>
      <c r="G244" s="76">
        <v>1</v>
      </c>
      <c r="H244" s="68">
        <f>I244</f>
        <v>150000</v>
      </c>
      <c r="I244" s="30">
        <v>150000</v>
      </c>
      <c r="J244" s="17"/>
      <c r="K244" s="17"/>
      <c r="L244" s="17"/>
      <c r="M244" s="17"/>
      <c r="N244" s="17">
        <v>110000</v>
      </c>
      <c r="O244" s="17"/>
      <c r="P244" s="17"/>
      <c r="Q244" s="17"/>
      <c r="R244" s="17"/>
      <c r="S244" s="17">
        <f>70000-70000</f>
        <v>0</v>
      </c>
      <c r="T244" s="17"/>
      <c r="U244" s="17">
        <f>80000-40000</f>
        <v>40000</v>
      </c>
      <c r="V244" s="17">
        <f t="shared" si="26"/>
        <v>0</v>
      </c>
      <c r="W244" s="17">
        <f>103040.28</f>
        <v>103040.28</v>
      </c>
    </row>
    <row r="245" spans="1:23" ht="56.25">
      <c r="A245" s="133"/>
      <c r="B245" s="133"/>
      <c r="C245" s="133"/>
      <c r="D245" s="135"/>
      <c r="E245" s="22" t="s">
        <v>1085</v>
      </c>
      <c r="F245" s="68">
        <f>I245</f>
        <v>200000</v>
      </c>
      <c r="G245" s="76">
        <v>1</v>
      </c>
      <c r="H245" s="68">
        <f>I245</f>
        <v>200000</v>
      </c>
      <c r="I245" s="21">
        <v>200000</v>
      </c>
      <c r="J245" s="17"/>
      <c r="K245" s="17"/>
      <c r="L245" s="17"/>
      <c r="M245" s="17"/>
      <c r="N245" s="17">
        <f>90000+110000</f>
        <v>200000</v>
      </c>
      <c r="O245" s="17">
        <v>-62000</v>
      </c>
      <c r="P245" s="17">
        <f>20000-20000+62000</f>
        <v>62000</v>
      </c>
      <c r="Q245" s="17"/>
      <c r="R245" s="17"/>
      <c r="S245" s="17"/>
      <c r="T245" s="17"/>
      <c r="U245" s="17">
        <f>90000-90000</f>
        <v>0</v>
      </c>
      <c r="V245" s="17">
        <f t="shared" si="26"/>
        <v>0</v>
      </c>
      <c r="W245" s="17">
        <f>137500.44</f>
        <v>137500.44</v>
      </c>
    </row>
    <row r="246" spans="1:23" ht="18.75">
      <c r="A246" s="132" t="s">
        <v>226</v>
      </c>
      <c r="B246" s="132" t="s">
        <v>1030</v>
      </c>
      <c r="C246" s="132" t="s">
        <v>759</v>
      </c>
      <c r="D246" s="145" t="s">
        <v>979</v>
      </c>
      <c r="E246" s="20"/>
      <c r="F246" s="20"/>
      <c r="G246" s="20"/>
      <c r="H246" s="20"/>
      <c r="I246" s="10">
        <f>SUM(I247:I249)</f>
        <v>697000</v>
      </c>
      <c r="J246" s="10">
        <f aca="true" t="shared" si="32" ref="J246:W246">SUM(J247:J249)</f>
        <v>0</v>
      </c>
      <c r="K246" s="10">
        <f t="shared" si="32"/>
        <v>0</v>
      </c>
      <c r="L246" s="10">
        <f t="shared" si="32"/>
        <v>697000</v>
      </c>
      <c r="M246" s="10">
        <f t="shared" si="32"/>
        <v>0</v>
      </c>
      <c r="N246" s="10">
        <f t="shared" si="32"/>
        <v>0</v>
      </c>
      <c r="O246" s="10">
        <f t="shared" si="32"/>
        <v>0</v>
      </c>
      <c r="P246" s="10">
        <f t="shared" si="32"/>
        <v>0</v>
      </c>
      <c r="Q246" s="10">
        <f t="shared" si="32"/>
        <v>0</v>
      </c>
      <c r="R246" s="10">
        <f t="shared" si="32"/>
        <v>0</v>
      </c>
      <c r="S246" s="10">
        <f t="shared" si="32"/>
        <v>0</v>
      </c>
      <c r="T246" s="10">
        <f t="shared" si="32"/>
        <v>0</v>
      </c>
      <c r="U246" s="10">
        <f t="shared" si="32"/>
        <v>0</v>
      </c>
      <c r="V246" s="10">
        <f t="shared" si="32"/>
        <v>0</v>
      </c>
      <c r="W246" s="10">
        <f t="shared" si="32"/>
        <v>697000</v>
      </c>
    </row>
    <row r="247" spans="1:23" ht="75">
      <c r="A247" s="134"/>
      <c r="B247" s="134"/>
      <c r="C247" s="134"/>
      <c r="D247" s="146"/>
      <c r="E247" s="29" t="s">
        <v>986</v>
      </c>
      <c r="F247" s="29"/>
      <c r="G247" s="29"/>
      <c r="H247" s="29"/>
      <c r="I247" s="21">
        <f>700000-3000</f>
        <v>697000</v>
      </c>
      <c r="J247" s="17"/>
      <c r="K247" s="17"/>
      <c r="L247" s="17">
        <v>697000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>
        <f t="shared" si="26"/>
        <v>0</v>
      </c>
      <c r="W247" s="17">
        <v>697000</v>
      </c>
    </row>
    <row r="248" spans="1:23" ht="18" hidden="1">
      <c r="A248" s="134"/>
      <c r="B248" s="26"/>
      <c r="C248" s="134"/>
      <c r="D248" s="146"/>
      <c r="E248" s="29"/>
      <c r="F248" s="29"/>
      <c r="G248" s="29"/>
      <c r="H248" s="29"/>
      <c r="I248" s="2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>
        <f t="shared" si="26"/>
        <v>0</v>
      </c>
      <c r="W248" s="17"/>
    </row>
    <row r="249" spans="1:23" ht="18" hidden="1">
      <c r="A249" s="134"/>
      <c r="B249" s="26"/>
      <c r="C249" s="134"/>
      <c r="D249" s="146"/>
      <c r="E249" s="29"/>
      <c r="F249" s="29"/>
      <c r="G249" s="29"/>
      <c r="H249" s="29"/>
      <c r="I249" s="2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>
        <f t="shared" si="26"/>
        <v>0</v>
      </c>
      <c r="W249" s="17"/>
    </row>
    <row r="250" spans="1:23" ht="18.75">
      <c r="A250" s="132" t="s">
        <v>1031</v>
      </c>
      <c r="B250" s="132" t="s">
        <v>985</v>
      </c>
      <c r="C250" s="132" t="s">
        <v>480</v>
      </c>
      <c r="D250" s="145" t="s">
        <v>231</v>
      </c>
      <c r="E250" s="20"/>
      <c r="F250" s="20"/>
      <c r="G250" s="20"/>
      <c r="H250" s="20"/>
      <c r="I250" s="10">
        <f>SUM(I251:I309)</f>
        <v>49891700</v>
      </c>
      <c r="J250" s="10">
        <f aca="true" t="shared" si="33" ref="J250:W250">SUM(J251:J309)</f>
        <v>0</v>
      </c>
      <c r="K250" s="10">
        <f t="shared" si="33"/>
        <v>0</v>
      </c>
      <c r="L250" s="10">
        <f t="shared" si="33"/>
        <v>579300</v>
      </c>
      <c r="M250" s="10">
        <f t="shared" si="33"/>
        <v>15000</v>
      </c>
      <c r="N250" s="10">
        <f t="shared" si="33"/>
        <v>11300981.370000001</v>
      </c>
      <c r="O250" s="10">
        <f t="shared" si="33"/>
        <v>2155718.63</v>
      </c>
      <c r="P250" s="10">
        <f t="shared" si="33"/>
        <v>5549750</v>
      </c>
      <c r="Q250" s="10">
        <f t="shared" si="33"/>
        <v>5686566.53</v>
      </c>
      <c r="R250" s="10">
        <f t="shared" si="33"/>
        <v>2350183.4699999997</v>
      </c>
      <c r="S250" s="10">
        <f t="shared" si="33"/>
        <v>4466000</v>
      </c>
      <c r="T250" s="10">
        <f t="shared" si="33"/>
        <v>7593742</v>
      </c>
      <c r="U250" s="10">
        <f t="shared" si="33"/>
        <v>10194458</v>
      </c>
      <c r="V250" s="10">
        <f t="shared" si="33"/>
        <v>0</v>
      </c>
      <c r="W250" s="10">
        <f t="shared" si="33"/>
        <v>12607098.799999999</v>
      </c>
    </row>
    <row r="251" spans="1:23" ht="37.5">
      <c r="A251" s="134"/>
      <c r="B251" s="134"/>
      <c r="C251" s="134"/>
      <c r="D251" s="146"/>
      <c r="E251" s="20" t="s">
        <v>987</v>
      </c>
      <c r="F251" s="68">
        <f>I251</f>
        <v>1470000</v>
      </c>
      <c r="G251" s="76">
        <v>1</v>
      </c>
      <c r="H251" s="68">
        <f aca="true" t="shared" si="34" ref="H251:H337">I251</f>
        <v>1470000</v>
      </c>
      <c r="I251" s="21">
        <v>1470000</v>
      </c>
      <c r="J251" s="17"/>
      <c r="K251" s="17"/>
      <c r="L251" s="17"/>
      <c r="M251" s="17"/>
      <c r="N251" s="17">
        <v>750000</v>
      </c>
      <c r="O251" s="17"/>
      <c r="P251" s="17">
        <f>100000-100000</f>
        <v>0</v>
      </c>
      <c r="Q251" s="17">
        <f>100000-100000</f>
        <v>0</v>
      </c>
      <c r="R251" s="17">
        <f>50000-50000</f>
        <v>0</v>
      </c>
      <c r="S251" s="17">
        <f>500000-80000</f>
        <v>420000</v>
      </c>
      <c r="T251" s="17">
        <f>300000-300000</f>
        <v>0</v>
      </c>
      <c r="U251" s="17">
        <f>420000-120000</f>
        <v>300000</v>
      </c>
      <c r="V251" s="17">
        <f t="shared" si="26"/>
        <v>0</v>
      </c>
      <c r="W251" s="17">
        <f>2140.8+716250.5</f>
        <v>718391.3</v>
      </c>
    </row>
    <row r="252" spans="1:23" ht="23.25" customHeight="1">
      <c r="A252" s="134"/>
      <c r="B252" s="134"/>
      <c r="C252" s="134"/>
      <c r="D252" s="146"/>
      <c r="E252" s="20" t="s">
        <v>283</v>
      </c>
      <c r="F252" s="68">
        <f>I252</f>
        <v>100000</v>
      </c>
      <c r="G252" s="76">
        <v>1</v>
      </c>
      <c r="H252" s="68">
        <f>I252</f>
        <v>100000</v>
      </c>
      <c r="I252" s="21">
        <v>100000</v>
      </c>
      <c r="J252" s="17"/>
      <c r="K252" s="17"/>
      <c r="L252" s="17"/>
      <c r="M252" s="17"/>
      <c r="N252" s="17"/>
      <c r="O252" s="17">
        <f>30000-30000</f>
        <v>0</v>
      </c>
      <c r="P252" s="17"/>
      <c r="Q252" s="17"/>
      <c r="R252" s="17">
        <v>70000</v>
      </c>
      <c r="S252" s="17">
        <f>30000</f>
        <v>30000</v>
      </c>
      <c r="T252" s="17"/>
      <c r="U252" s="17"/>
      <c r="V252" s="17">
        <f t="shared" si="26"/>
        <v>0</v>
      </c>
      <c r="W252" s="17"/>
    </row>
    <row r="253" spans="1:23" ht="24.75" customHeight="1">
      <c r="A253" s="134"/>
      <c r="B253" s="134"/>
      <c r="C253" s="134"/>
      <c r="D253" s="146"/>
      <c r="E253" s="20" t="s">
        <v>629</v>
      </c>
      <c r="F253" s="101">
        <f>I253</f>
        <v>750000</v>
      </c>
      <c r="G253" s="76">
        <v>1</v>
      </c>
      <c r="H253" s="101">
        <f>I253</f>
        <v>750000</v>
      </c>
      <c r="I253" s="21">
        <v>750000</v>
      </c>
      <c r="J253" s="17"/>
      <c r="K253" s="17"/>
      <c r="L253" s="17"/>
      <c r="M253" s="17"/>
      <c r="N253" s="17"/>
      <c r="O253" s="17">
        <f>413000-42000</f>
        <v>371000</v>
      </c>
      <c r="P253" s="17">
        <f>294000-294000</f>
        <v>0</v>
      </c>
      <c r="Q253" s="17">
        <f>100000-100000</f>
        <v>0</v>
      </c>
      <c r="R253" s="17">
        <f>50000-19000</f>
        <v>31000</v>
      </c>
      <c r="S253" s="17">
        <f>106000-6200+42000</f>
        <v>141800</v>
      </c>
      <c r="T253" s="17">
        <f>100000+6200</f>
        <v>106200</v>
      </c>
      <c r="U253" s="17">
        <v>100000</v>
      </c>
      <c r="V253" s="17">
        <f t="shared" si="26"/>
        <v>0</v>
      </c>
      <c r="W253" s="17">
        <v>370790</v>
      </c>
    </row>
    <row r="254" spans="1:23" ht="22.5" customHeight="1">
      <c r="A254" s="134"/>
      <c r="B254" s="134"/>
      <c r="C254" s="134"/>
      <c r="D254" s="146"/>
      <c r="E254" s="20" t="s">
        <v>988</v>
      </c>
      <c r="F254" s="68">
        <f aca="true" t="shared" si="35" ref="F254:F309">I254</f>
        <v>700000</v>
      </c>
      <c r="G254" s="76">
        <v>1</v>
      </c>
      <c r="H254" s="68">
        <f t="shared" si="34"/>
        <v>700000</v>
      </c>
      <c r="I254" s="21">
        <v>700000</v>
      </c>
      <c r="J254" s="17"/>
      <c r="K254" s="17"/>
      <c r="L254" s="17"/>
      <c r="M254" s="17"/>
      <c r="N254" s="17"/>
      <c r="O254" s="17"/>
      <c r="P254" s="17">
        <v>100000</v>
      </c>
      <c r="Q254" s="17">
        <v>100000</v>
      </c>
      <c r="R254" s="17">
        <v>217000</v>
      </c>
      <c r="S254" s="17">
        <v>83000</v>
      </c>
      <c r="T254" s="17">
        <v>100000</v>
      </c>
      <c r="U254" s="17">
        <v>100000</v>
      </c>
      <c r="V254" s="17">
        <f t="shared" si="26"/>
        <v>0</v>
      </c>
      <c r="W254" s="17"/>
    </row>
    <row r="255" spans="1:23" ht="22.5" customHeight="1">
      <c r="A255" s="134"/>
      <c r="B255" s="134"/>
      <c r="C255" s="134"/>
      <c r="D255" s="146"/>
      <c r="E255" s="20" t="s">
        <v>989</v>
      </c>
      <c r="F255" s="68">
        <f t="shared" si="35"/>
        <v>1470000</v>
      </c>
      <c r="G255" s="76">
        <v>1</v>
      </c>
      <c r="H255" s="68">
        <f t="shared" si="34"/>
        <v>1470000</v>
      </c>
      <c r="I255" s="21">
        <v>1470000</v>
      </c>
      <c r="J255" s="17"/>
      <c r="K255" s="17"/>
      <c r="L255" s="17"/>
      <c r="M255" s="17"/>
      <c r="N255" s="17">
        <v>780000</v>
      </c>
      <c r="O255" s="17">
        <f>-217000</f>
        <v>-217000</v>
      </c>
      <c r="P255" s="17"/>
      <c r="Q255" s="17"/>
      <c r="R255" s="17">
        <f>1470000-780000</f>
        <v>690000</v>
      </c>
      <c r="S255" s="17">
        <f>217000</f>
        <v>217000</v>
      </c>
      <c r="T255" s="17"/>
      <c r="U255" s="17"/>
      <c r="V255" s="17">
        <f t="shared" si="26"/>
        <v>0</v>
      </c>
      <c r="W255" s="17">
        <v>562243.5</v>
      </c>
    </row>
    <row r="256" spans="1:23" ht="22.5" customHeight="1">
      <c r="A256" s="134"/>
      <c r="B256" s="134"/>
      <c r="C256" s="134"/>
      <c r="D256" s="146"/>
      <c r="E256" s="20" t="s">
        <v>335</v>
      </c>
      <c r="F256" s="68">
        <f t="shared" si="35"/>
        <v>995000</v>
      </c>
      <c r="G256" s="76"/>
      <c r="H256" s="68">
        <f t="shared" si="34"/>
        <v>995000</v>
      </c>
      <c r="I256" s="21">
        <v>995000</v>
      </c>
      <c r="J256" s="17"/>
      <c r="K256" s="17"/>
      <c r="L256" s="17"/>
      <c r="M256" s="17"/>
      <c r="N256" s="17">
        <f>95000+45000-130000</f>
        <v>10000</v>
      </c>
      <c r="O256" s="17">
        <f>80000+215000</f>
        <v>295000</v>
      </c>
      <c r="P256" s="17">
        <v>150000</v>
      </c>
      <c r="Q256" s="17">
        <f>70000-70000</f>
        <v>0</v>
      </c>
      <c r="R256" s="17"/>
      <c r="S256" s="17">
        <f>255000-145000</f>
        <v>110000</v>
      </c>
      <c r="T256" s="17">
        <f>300000+30000</f>
        <v>330000</v>
      </c>
      <c r="U256" s="17">
        <v>100000</v>
      </c>
      <c r="V256" s="17">
        <f>I256-J256-K256-L256-M256-N256-O256-P256-Q256-R256-S256-T256-U256</f>
        <v>0</v>
      </c>
      <c r="W256" s="17"/>
    </row>
    <row r="257" spans="1:23" ht="37.5">
      <c r="A257" s="134"/>
      <c r="B257" s="134"/>
      <c r="C257" s="134"/>
      <c r="D257" s="146"/>
      <c r="E257" s="20" t="s">
        <v>50</v>
      </c>
      <c r="F257" s="68">
        <f t="shared" si="35"/>
        <v>57600</v>
      </c>
      <c r="G257" s="76">
        <v>1</v>
      </c>
      <c r="H257" s="68">
        <f t="shared" si="34"/>
        <v>57600</v>
      </c>
      <c r="I257" s="21">
        <f>87600-30000</f>
        <v>57600</v>
      </c>
      <c r="J257" s="17"/>
      <c r="K257" s="17"/>
      <c r="L257" s="17"/>
      <c r="M257" s="17"/>
      <c r="N257" s="17"/>
      <c r="O257" s="17"/>
      <c r="P257" s="17"/>
      <c r="Q257" s="17"/>
      <c r="R257" s="17">
        <f>87600-30000</f>
        <v>57600</v>
      </c>
      <c r="S257" s="17"/>
      <c r="T257" s="17"/>
      <c r="U257" s="17"/>
      <c r="V257" s="17">
        <f t="shared" si="26"/>
        <v>0</v>
      </c>
      <c r="W257" s="17"/>
    </row>
    <row r="258" spans="1:23" ht="37.5">
      <c r="A258" s="134"/>
      <c r="B258" s="134"/>
      <c r="C258" s="134"/>
      <c r="D258" s="146"/>
      <c r="E258" s="20" t="s">
        <v>990</v>
      </c>
      <c r="F258" s="68">
        <f t="shared" si="35"/>
        <v>1470000</v>
      </c>
      <c r="G258" s="76">
        <v>1</v>
      </c>
      <c r="H258" s="68">
        <f t="shared" si="34"/>
        <v>1470000</v>
      </c>
      <c r="I258" s="21">
        <v>1470000</v>
      </c>
      <c r="J258" s="17"/>
      <c r="K258" s="17"/>
      <c r="L258" s="17"/>
      <c r="M258" s="17"/>
      <c r="N258" s="17"/>
      <c r="O258" s="17"/>
      <c r="P258" s="17">
        <v>70000</v>
      </c>
      <c r="Q258" s="17">
        <v>100000</v>
      </c>
      <c r="R258" s="17">
        <v>60000</v>
      </c>
      <c r="S258" s="17"/>
      <c r="T258" s="17">
        <v>540000</v>
      </c>
      <c r="U258" s="17">
        <v>700000</v>
      </c>
      <c r="V258" s="17">
        <f t="shared" si="26"/>
        <v>0</v>
      </c>
      <c r="W258" s="17"/>
    </row>
    <row r="259" spans="1:23" ht="37.5">
      <c r="A259" s="134"/>
      <c r="B259" s="134"/>
      <c r="C259" s="134"/>
      <c r="D259" s="146"/>
      <c r="E259" s="20" t="s">
        <v>991</v>
      </c>
      <c r="F259" s="68">
        <f t="shared" si="35"/>
        <v>1500000</v>
      </c>
      <c r="G259" s="76">
        <v>1</v>
      </c>
      <c r="H259" s="68">
        <f t="shared" si="34"/>
        <v>1500000</v>
      </c>
      <c r="I259" s="21">
        <v>1500000</v>
      </c>
      <c r="J259" s="17"/>
      <c r="K259" s="17"/>
      <c r="L259" s="17"/>
      <c r="M259" s="17"/>
      <c r="N259" s="17"/>
      <c r="O259" s="17"/>
      <c r="P259" s="17">
        <v>50000</v>
      </c>
      <c r="Q259" s="17">
        <v>250000</v>
      </c>
      <c r="R259" s="17">
        <v>60000</v>
      </c>
      <c r="S259" s="17">
        <v>100000</v>
      </c>
      <c r="T259" s="17">
        <v>540000</v>
      </c>
      <c r="U259" s="17">
        <v>500000</v>
      </c>
      <c r="V259" s="17">
        <f>I259-J259-K259-L259-M259-N259-O259-P259-Q259-R259-S259-T259-U259</f>
        <v>0</v>
      </c>
      <c r="W259" s="17"/>
    </row>
    <row r="260" spans="1:23" ht="37.5">
      <c r="A260" s="134"/>
      <c r="B260" s="134"/>
      <c r="C260" s="134"/>
      <c r="D260" s="146"/>
      <c r="E260" s="20" t="s">
        <v>324</v>
      </c>
      <c r="F260" s="68">
        <f t="shared" si="35"/>
        <v>865000</v>
      </c>
      <c r="G260" s="76"/>
      <c r="H260" s="68">
        <f t="shared" si="34"/>
        <v>865000</v>
      </c>
      <c r="I260" s="21">
        <v>865000</v>
      </c>
      <c r="J260" s="17"/>
      <c r="K260" s="17"/>
      <c r="L260" s="17"/>
      <c r="M260" s="17"/>
      <c r="N260" s="17"/>
      <c r="O260" s="17"/>
      <c r="P260" s="17">
        <f>303000+65000</f>
        <v>368000</v>
      </c>
      <c r="Q260" s="17">
        <v>180000</v>
      </c>
      <c r="R260" s="17"/>
      <c r="S260" s="17"/>
      <c r="T260" s="17">
        <v>217000</v>
      </c>
      <c r="U260" s="17">
        <v>100000</v>
      </c>
      <c r="V260" s="17">
        <f>I260-J260-K260-L260-M260-N260-O260-P260-Q260-R260-S260-T260-U260</f>
        <v>0</v>
      </c>
      <c r="W260" s="17"/>
    </row>
    <row r="261" spans="1:23" ht="36" hidden="1">
      <c r="A261" s="134"/>
      <c r="B261" s="134"/>
      <c r="C261" s="134"/>
      <c r="D261" s="146"/>
      <c r="E261" s="20" t="s">
        <v>1086</v>
      </c>
      <c r="F261" s="68">
        <f t="shared" si="35"/>
        <v>0</v>
      </c>
      <c r="G261" s="76">
        <v>1</v>
      </c>
      <c r="H261" s="68">
        <f t="shared" si="34"/>
        <v>0</v>
      </c>
      <c r="I261" s="21">
        <f>800000+65000-865000</f>
        <v>0</v>
      </c>
      <c r="J261" s="17"/>
      <c r="K261" s="17"/>
      <c r="L261" s="17"/>
      <c r="M261" s="17"/>
      <c r="N261" s="17"/>
      <c r="O261" s="17"/>
      <c r="P261" s="17">
        <f>303000+65000-368000</f>
        <v>0</v>
      </c>
      <c r="Q261" s="17">
        <f>180000-180000</f>
        <v>0</v>
      </c>
      <c r="R261" s="17"/>
      <c r="S261" s="17"/>
      <c r="T261" s="17">
        <f>217000-217000</f>
        <v>0</v>
      </c>
      <c r="U261" s="17">
        <f>100000-100000</f>
        <v>0</v>
      </c>
      <c r="V261" s="17">
        <f t="shared" si="26"/>
        <v>0</v>
      </c>
      <c r="W261" s="17"/>
    </row>
    <row r="262" spans="1:23" ht="37.5">
      <c r="A262" s="134"/>
      <c r="B262" s="134"/>
      <c r="C262" s="134"/>
      <c r="D262" s="146"/>
      <c r="E262" s="20" t="s">
        <v>1087</v>
      </c>
      <c r="F262" s="68">
        <f t="shared" si="35"/>
        <v>400000</v>
      </c>
      <c r="G262" s="76">
        <v>1</v>
      </c>
      <c r="H262" s="68">
        <f t="shared" si="34"/>
        <v>400000</v>
      </c>
      <c r="I262" s="21">
        <v>400000</v>
      </c>
      <c r="J262" s="17"/>
      <c r="K262" s="17"/>
      <c r="L262" s="17"/>
      <c r="M262" s="17"/>
      <c r="N262" s="17">
        <v>30000</v>
      </c>
      <c r="O262" s="17"/>
      <c r="P262" s="17">
        <v>40000</v>
      </c>
      <c r="Q262" s="17">
        <f>160000-30000</f>
        <v>130000</v>
      </c>
      <c r="R262" s="17"/>
      <c r="S262" s="17"/>
      <c r="T262" s="17">
        <v>100000</v>
      </c>
      <c r="U262" s="17">
        <v>100000</v>
      </c>
      <c r="V262" s="17">
        <f t="shared" si="26"/>
        <v>0</v>
      </c>
      <c r="W262" s="17">
        <f>24365</f>
        <v>24365</v>
      </c>
    </row>
    <row r="263" spans="1:23" ht="37.5">
      <c r="A263" s="134"/>
      <c r="B263" s="134"/>
      <c r="C263" s="134"/>
      <c r="D263" s="146"/>
      <c r="E263" s="20" t="s">
        <v>1088</v>
      </c>
      <c r="F263" s="68">
        <f t="shared" si="35"/>
        <v>1470000</v>
      </c>
      <c r="G263" s="76">
        <v>1</v>
      </c>
      <c r="H263" s="68">
        <f t="shared" si="34"/>
        <v>1470000</v>
      </c>
      <c r="I263" s="21">
        <v>1470000</v>
      </c>
      <c r="J263" s="17"/>
      <c r="K263" s="17"/>
      <c r="L263" s="17"/>
      <c r="M263" s="17"/>
      <c r="N263" s="17">
        <v>750000</v>
      </c>
      <c r="O263" s="17">
        <v>-45000</v>
      </c>
      <c r="P263" s="17">
        <v>70000</v>
      </c>
      <c r="Q263" s="17">
        <f>700000-700000</f>
        <v>0</v>
      </c>
      <c r="R263" s="17"/>
      <c r="S263" s="17"/>
      <c r="T263" s="17"/>
      <c r="U263" s="17">
        <f>700000-50000+45000</f>
        <v>695000</v>
      </c>
      <c r="V263" s="17">
        <f t="shared" si="26"/>
        <v>0</v>
      </c>
      <c r="W263" s="17">
        <f>703240.8</f>
        <v>703240.8</v>
      </c>
    </row>
    <row r="264" spans="1:23" ht="37.5">
      <c r="A264" s="134"/>
      <c r="B264" s="134"/>
      <c r="C264" s="134"/>
      <c r="D264" s="146"/>
      <c r="E264" s="20" t="s">
        <v>360</v>
      </c>
      <c r="F264" s="68">
        <f t="shared" si="35"/>
        <v>1470000</v>
      </c>
      <c r="G264" s="76">
        <v>1</v>
      </c>
      <c r="H264" s="68">
        <f t="shared" si="34"/>
        <v>1470000</v>
      </c>
      <c r="I264" s="21">
        <v>1470000</v>
      </c>
      <c r="J264" s="17"/>
      <c r="K264" s="17"/>
      <c r="L264" s="17"/>
      <c r="M264" s="17"/>
      <c r="N264" s="17">
        <v>750000</v>
      </c>
      <c r="O264" s="17">
        <v>-45000</v>
      </c>
      <c r="P264" s="17">
        <f>470000-470000</f>
        <v>0</v>
      </c>
      <c r="Q264" s="17">
        <f>300000-280000</f>
        <v>20000</v>
      </c>
      <c r="R264" s="17"/>
      <c r="S264" s="17"/>
      <c r="T264" s="17"/>
      <c r="U264" s="17">
        <f>700000+45000</f>
        <v>745000</v>
      </c>
      <c r="V264" s="17">
        <f t="shared" si="26"/>
        <v>0</v>
      </c>
      <c r="W264" s="17">
        <f>703459.7</f>
        <v>703459.7</v>
      </c>
    </row>
    <row r="265" spans="1:23" ht="37.5">
      <c r="A265" s="134"/>
      <c r="B265" s="134"/>
      <c r="C265" s="134"/>
      <c r="D265" s="146"/>
      <c r="E265" s="20" t="s">
        <v>361</v>
      </c>
      <c r="F265" s="68">
        <f t="shared" si="35"/>
        <v>900000</v>
      </c>
      <c r="G265" s="76">
        <v>1</v>
      </c>
      <c r="H265" s="68">
        <f t="shared" si="34"/>
        <v>900000</v>
      </c>
      <c r="I265" s="21">
        <v>900000</v>
      </c>
      <c r="J265" s="17"/>
      <c r="K265" s="17"/>
      <c r="L265" s="17"/>
      <c r="M265" s="17"/>
      <c r="N265" s="17"/>
      <c r="O265" s="17"/>
      <c r="P265" s="17">
        <v>250000</v>
      </c>
      <c r="Q265" s="17">
        <v>250000</v>
      </c>
      <c r="R265" s="17"/>
      <c r="S265" s="17"/>
      <c r="T265" s="17">
        <v>200000</v>
      </c>
      <c r="U265" s="17">
        <v>200000</v>
      </c>
      <c r="V265" s="17">
        <f t="shared" si="26"/>
        <v>0</v>
      </c>
      <c r="W265" s="17"/>
    </row>
    <row r="266" spans="1:23" ht="37.5">
      <c r="A266" s="134"/>
      <c r="B266" s="134"/>
      <c r="C266" s="134"/>
      <c r="D266" s="146"/>
      <c r="E266" s="20" t="s">
        <v>362</v>
      </c>
      <c r="F266" s="68">
        <f t="shared" si="35"/>
        <v>1470000</v>
      </c>
      <c r="G266" s="76">
        <v>1</v>
      </c>
      <c r="H266" s="68">
        <f t="shared" si="34"/>
        <v>1470000</v>
      </c>
      <c r="I266" s="21">
        <v>1470000</v>
      </c>
      <c r="J266" s="17"/>
      <c r="K266" s="17"/>
      <c r="L266" s="17"/>
      <c r="M266" s="17"/>
      <c r="N266" s="17">
        <v>750000</v>
      </c>
      <c r="O266" s="17">
        <v>-45000</v>
      </c>
      <c r="P266" s="17">
        <f>470000-470000+20000</f>
        <v>20000</v>
      </c>
      <c r="Q266" s="17">
        <f>300000-280000</f>
        <v>20000</v>
      </c>
      <c r="R266" s="17"/>
      <c r="S266" s="17"/>
      <c r="T266" s="17">
        <v>25000</v>
      </c>
      <c r="U266" s="17">
        <v>700000</v>
      </c>
      <c r="V266" s="17">
        <f t="shared" si="26"/>
        <v>0</v>
      </c>
      <c r="W266" s="17">
        <v>703562.5</v>
      </c>
    </row>
    <row r="267" spans="1:23" ht="27" customHeight="1">
      <c r="A267" s="134"/>
      <c r="B267" s="134"/>
      <c r="C267" s="134"/>
      <c r="D267" s="146"/>
      <c r="E267" s="20" t="s">
        <v>363</v>
      </c>
      <c r="F267" s="68">
        <f t="shared" si="35"/>
        <v>1070000</v>
      </c>
      <c r="G267" s="76">
        <v>1</v>
      </c>
      <c r="H267" s="68">
        <f t="shared" si="34"/>
        <v>1070000</v>
      </c>
      <c r="I267" s="21">
        <f>1470000-400000</f>
        <v>1070000</v>
      </c>
      <c r="J267" s="17"/>
      <c r="K267" s="17"/>
      <c r="L267" s="17"/>
      <c r="M267" s="17"/>
      <c r="N267" s="17">
        <v>600000</v>
      </c>
      <c r="O267" s="17">
        <v>-85000</v>
      </c>
      <c r="P267" s="17">
        <f>320000-320000+50000</f>
        <v>50000</v>
      </c>
      <c r="Q267" s="17">
        <f>250000-250000</f>
        <v>0</v>
      </c>
      <c r="R267" s="17"/>
      <c r="S267" s="17"/>
      <c r="T267" s="17">
        <f>300000-30000+35000</f>
        <v>305000</v>
      </c>
      <c r="U267" s="17">
        <v>200000</v>
      </c>
      <c r="V267" s="17">
        <f t="shared" si="26"/>
        <v>0</v>
      </c>
      <c r="W267" s="17">
        <f>511500</f>
        <v>511500</v>
      </c>
    </row>
    <row r="268" spans="1:23" ht="56.25">
      <c r="A268" s="134"/>
      <c r="B268" s="134"/>
      <c r="C268" s="134"/>
      <c r="D268" s="146"/>
      <c r="E268" s="20" t="s">
        <v>364</v>
      </c>
      <c r="F268" s="68">
        <f t="shared" si="35"/>
        <v>300000</v>
      </c>
      <c r="G268" s="76">
        <v>1</v>
      </c>
      <c r="H268" s="68">
        <f t="shared" si="34"/>
        <v>300000</v>
      </c>
      <c r="I268" s="21">
        <v>300000</v>
      </c>
      <c r="J268" s="17"/>
      <c r="K268" s="17"/>
      <c r="L268" s="17"/>
      <c r="M268" s="17"/>
      <c r="N268" s="17"/>
      <c r="O268" s="17"/>
      <c r="P268" s="17"/>
      <c r="Q268" s="17">
        <v>300000</v>
      </c>
      <c r="R268" s="17"/>
      <c r="S268" s="17"/>
      <c r="T268" s="17"/>
      <c r="U268" s="17"/>
      <c r="V268" s="17">
        <f t="shared" si="26"/>
        <v>0</v>
      </c>
      <c r="W268" s="17"/>
    </row>
    <row r="269" spans="1:23" ht="56.25">
      <c r="A269" s="134"/>
      <c r="B269" s="134"/>
      <c r="C269" s="134"/>
      <c r="D269" s="146"/>
      <c r="E269" s="20" t="s">
        <v>365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>
        <v>780000</v>
      </c>
      <c r="O269" s="17">
        <f>-45000</f>
        <v>-45000</v>
      </c>
      <c r="P269" s="17">
        <f>470000-301000</f>
        <v>169000</v>
      </c>
      <c r="Q269" s="17">
        <f>300000-300000</f>
        <v>0</v>
      </c>
      <c r="R269" s="17"/>
      <c r="S269" s="17">
        <f>45000</f>
        <v>45000</v>
      </c>
      <c r="T269" s="17">
        <f>300000-179000</f>
        <v>121000</v>
      </c>
      <c r="U269" s="17">
        <v>400000</v>
      </c>
      <c r="V269" s="17">
        <f t="shared" si="26"/>
        <v>0</v>
      </c>
      <c r="W269" s="17">
        <f>704184+29850</f>
        <v>734034</v>
      </c>
    </row>
    <row r="270" spans="1:23" ht="75">
      <c r="A270" s="134"/>
      <c r="B270" s="134"/>
      <c r="C270" s="134"/>
      <c r="D270" s="146"/>
      <c r="E270" s="20" t="s">
        <v>366</v>
      </c>
      <c r="F270" s="68">
        <f t="shared" si="35"/>
        <v>1470000</v>
      </c>
      <c r="G270" s="76">
        <v>1</v>
      </c>
      <c r="H270" s="68">
        <f t="shared" si="34"/>
        <v>1470000</v>
      </c>
      <c r="I270" s="21">
        <v>1470000</v>
      </c>
      <c r="J270" s="17"/>
      <c r="K270" s="17"/>
      <c r="L270" s="17"/>
      <c r="M270" s="17"/>
      <c r="N270" s="17">
        <v>780000</v>
      </c>
      <c r="O270" s="17">
        <f>-32000</f>
        <v>-32000</v>
      </c>
      <c r="P270" s="17">
        <f>470000-409000</f>
        <v>61000</v>
      </c>
      <c r="Q270" s="17">
        <f>300000-71000</f>
        <v>229000</v>
      </c>
      <c r="R270" s="17"/>
      <c r="S270" s="17">
        <f>32000</f>
        <v>32000</v>
      </c>
      <c r="T270" s="17">
        <f>300000-300000</f>
        <v>0</v>
      </c>
      <c r="U270" s="17">
        <v>400000</v>
      </c>
      <c r="V270" s="17">
        <f t="shared" si="26"/>
        <v>0</v>
      </c>
      <c r="W270" s="17">
        <f>695763.37+51804.72</f>
        <v>747568.09</v>
      </c>
    </row>
    <row r="271" spans="1:23" ht="37.5">
      <c r="A271" s="134"/>
      <c r="B271" s="134"/>
      <c r="C271" s="134"/>
      <c r="D271" s="146"/>
      <c r="E271" s="20" t="s">
        <v>367</v>
      </c>
      <c r="F271" s="68">
        <f t="shared" si="35"/>
        <v>57900</v>
      </c>
      <c r="G271" s="76">
        <v>1</v>
      </c>
      <c r="H271" s="68">
        <f t="shared" si="34"/>
        <v>57900</v>
      </c>
      <c r="I271" s="21">
        <v>57900</v>
      </c>
      <c r="J271" s="17"/>
      <c r="K271" s="17"/>
      <c r="L271" s="17"/>
      <c r="M271" s="17"/>
      <c r="N271" s="17"/>
      <c r="O271" s="17"/>
      <c r="P271" s="17">
        <v>2400</v>
      </c>
      <c r="Q271" s="17">
        <v>55500</v>
      </c>
      <c r="R271" s="17"/>
      <c r="S271" s="17"/>
      <c r="T271" s="17"/>
      <c r="U271" s="17"/>
      <c r="V271" s="17">
        <f t="shared" si="26"/>
        <v>0</v>
      </c>
      <c r="W271" s="17"/>
    </row>
    <row r="272" spans="1:23" ht="37.5">
      <c r="A272" s="134"/>
      <c r="B272" s="134"/>
      <c r="C272" s="134"/>
      <c r="D272" s="146"/>
      <c r="E272" s="20" t="s">
        <v>51</v>
      </c>
      <c r="F272" s="68">
        <f>I272</f>
        <v>1000000</v>
      </c>
      <c r="G272" s="76">
        <v>1</v>
      </c>
      <c r="H272" s="68">
        <f>I272</f>
        <v>1000000</v>
      </c>
      <c r="I272" s="21">
        <v>1000000</v>
      </c>
      <c r="J272" s="17"/>
      <c r="K272" s="17"/>
      <c r="L272" s="17"/>
      <c r="M272" s="17"/>
      <c r="N272" s="17"/>
      <c r="O272" s="17"/>
      <c r="P272" s="17">
        <v>300000</v>
      </c>
      <c r="Q272" s="17">
        <v>250000</v>
      </c>
      <c r="R272" s="17"/>
      <c r="S272" s="17"/>
      <c r="T272" s="17">
        <v>250000</v>
      </c>
      <c r="U272" s="17">
        <v>200000</v>
      </c>
      <c r="V272" s="17">
        <f t="shared" si="26"/>
        <v>0</v>
      </c>
      <c r="W272" s="17"/>
    </row>
    <row r="273" spans="1:23" ht="75">
      <c r="A273" s="134"/>
      <c r="B273" s="134"/>
      <c r="C273" s="134"/>
      <c r="D273" s="146"/>
      <c r="E273" s="20" t="s">
        <v>368</v>
      </c>
      <c r="F273" s="68">
        <f t="shared" si="35"/>
        <v>1470000</v>
      </c>
      <c r="G273" s="76">
        <v>1</v>
      </c>
      <c r="H273" s="68">
        <f t="shared" si="34"/>
        <v>1470000</v>
      </c>
      <c r="I273" s="21">
        <v>1470000</v>
      </c>
      <c r="J273" s="17"/>
      <c r="K273" s="17"/>
      <c r="L273" s="17"/>
      <c r="M273" s="17"/>
      <c r="N273" s="17"/>
      <c r="O273" s="17"/>
      <c r="P273" s="17">
        <v>470000</v>
      </c>
      <c r="Q273" s="17">
        <v>300000</v>
      </c>
      <c r="R273" s="17"/>
      <c r="S273" s="17"/>
      <c r="T273" s="17">
        <v>300000</v>
      </c>
      <c r="U273" s="17">
        <v>400000</v>
      </c>
      <c r="V273" s="17">
        <f t="shared" si="26"/>
        <v>0</v>
      </c>
      <c r="W273" s="17"/>
    </row>
    <row r="274" spans="1:23" ht="37.5">
      <c r="A274" s="134"/>
      <c r="B274" s="134"/>
      <c r="C274" s="134"/>
      <c r="D274" s="146"/>
      <c r="E274" s="20" t="s">
        <v>52</v>
      </c>
      <c r="F274" s="68">
        <f>I274</f>
        <v>1470000</v>
      </c>
      <c r="G274" s="76">
        <v>1</v>
      </c>
      <c r="H274" s="68">
        <f>I274</f>
        <v>1470000</v>
      </c>
      <c r="I274" s="21">
        <v>1470000</v>
      </c>
      <c r="J274" s="17"/>
      <c r="K274" s="17"/>
      <c r="L274" s="17"/>
      <c r="M274" s="17"/>
      <c r="N274" s="17">
        <v>750000</v>
      </c>
      <c r="O274" s="17">
        <f>-80000-6000</f>
        <v>-86000</v>
      </c>
      <c r="P274" s="17">
        <f>470000-450000+80000</f>
        <v>100000</v>
      </c>
      <c r="Q274" s="17">
        <v>300000</v>
      </c>
      <c r="R274" s="17"/>
      <c r="S274" s="17">
        <f>6000</f>
        <v>6000</v>
      </c>
      <c r="T274" s="17">
        <f>300000-300000</f>
        <v>0</v>
      </c>
      <c r="U274" s="17">
        <v>400000</v>
      </c>
      <c r="V274" s="17">
        <f t="shared" si="26"/>
        <v>0</v>
      </c>
      <c r="W274" s="17">
        <f>663963</f>
        <v>663963</v>
      </c>
    </row>
    <row r="275" spans="1:23" ht="37.5">
      <c r="A275" s="134"/>
      <c r="B275" s="134"/>
      <c r="C275" s="134"/>
      <c r="D275" s="146"/>
      <c r="E275" s="20" t="s">
        <v>630</v>
      </c>
      <c r="F275" s="101">
        <f>I275</f>
        <v>100000</v>
      </c>
      <c r="G275" s="76">
        <v>1</v>
      </c>
      <c r="H275" s="101">
        <f>I275</f>
        <v>100000</v>
      </c>
      <c r="I275" s="21">
        <f>500000-400000</f>
        <v>100000</v>
      </c>
      <c r="J275" s="17"/>
      <c r="K275" s="17"/>
      <c r="L275" s="17"/>
      <c r="M275" s="17"/>
      <c r="N275" s="17">
        <f>32281.37-32000</f>
        <v>281.369999999999</v>
      </c>
      <c r="O275" s="17">
        <f>117718.63-50000-68000</f>
        <v>-281.36999999999534</v>
      </c>
      <c r="P275" s="17"/>
      <c r="Q275" s="17">
        <f>200000-200000</f>
        <v>0</v>
      </c>
      <c r="R275" s="17"/>
      <c r="S275" s="17">
        <f>150000-150000+32000+68000</f>
        <v>100000</v>
      </c>
      <c r="T275" s="17"/>
      <c r="U275" s="17"/>
      <c r="V275" s="17">
        <f t="shared" si="26"/>
        <v>0</v>
      </c>
      <c r="W275" s="17"/>
    </row>
    <row r="276" spans="1:23" ht="37.5">
      <c r="A276" s="134"/>
      <c r="B276" s="134"/>
      <c r="C276" s="134"/>
      <c r="D276" s="146"/>
      <c r="E276" s="20" t="s">
        <v>207</v>
      </c>
      <c r="F276" s="101"/>
      <c r="G276" s="76"/>
      <c r="H276" s="101"/>
      <c r="I276" s="21">
        <v>400000</v>
      </c>
      <c r="J276" s="17"/>
      <c r="K276" s="17"/>
      <c r="L276" s="17"/>
      <c r="M276" s="17"/>
      <c r="N276" s="17"/>
      <c r="O276" s="17">
        <f>50000-50000</f>
        <v>0</v>
      </c>
      <c r="P276" s="17"/>
      <c r="Q276" s="17">
        <v>200000</v>
      </c>
      <c r="R276" s="17"/>
      <c r="S276" s="17">
        <f>150000+50000</f>
        <v>200000</v>
      </c>
      <c r="T276" s="17"/>
      <c r="U276" s="17"/>
      <c r="V276" s="17">
        <f>I276-J276-K276-L276-M276-N276-O276-P276-Q276-R276-S276-T276-U276</f>
        <v>0</v>
      </c>
      <c r="W276" s="17"/>
    </row>
    <row r="277" spans="1:23" ht="37.5">
      <c r="A277" s="134"/>
      <c r="B277" s="134"/>
      <c r="C277" s="134"/>
      <c r="D277" s="146"/>
      <c r="E277" s="20" t="s">
        <v>53</v>
      </c>
      <c r="F277" s="68">
        <f>I277</f>
        <v>480000</v>
      </c>
      <c r="G277" s="76">
        <v>1</v>
      </c>
      <c r="H277" s="68">
        <f>I277</f>
        <v>480000</v>
      </c>
      <c r="I277" s="21">
        <v>480000</v>
      </c>
      <c r="J277" s="17"/>
      <c r="K277" s="17"/>
      <c r="L277" s="17"/>
      <c r="M277" s="17"/>
      <c r="N277" s="17"/>
      <c r="O277" s="17"/>
      <c r="P277" s="17">
        <v>160000</v>
      </c>
      <c r="Q277" s="17">
        <v>220000</v>
      </c>
      <c r="R277" s="17"/>
      <c r="S277" s="17"/>
      <c r="T277" s="17">
        <v>100000</v>
      </c>
      <c r="U277" s="17"/>
      <c r="V277" s="17">
        <f t="shared" si="26"/>
        <v>0</v>
      </c>
      <c r="W277" s="17"/>
    </row>
    <row r="278" spans="1:23" ht="42" customHeight="1">
      <c r="A278" s="134"/>
      <c r="B278" s="134"/>
      <c r="C278" s="134"/>
      <c r="D278" s="146"/>
      <c r="E278" s="20" t="s">
        <v>340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>
        <v>750000</v>
      </c>
      <c r="O278" s="17">
        <f>-10000</f>
        <v>-10000</v>
      </c>
      <c r="P278" s="17">
        <f>470000-241000</f>
        <v>229000</v>
      </c>
      <c r="Q278" s="17">
        <f>300000-250000</f>
        <v>50000</v>
      </c>
      <c r="R278" s="17"/>
      <c r="S278" s="17">
        <f>10000</f>
        <v>10000</v>
      </c>
      <c r="T278" s="17">
        <f>300000-259000</f>
        <v>41000</v>
      </c>
      <c r="U278" s="17">
        <v>400000</v>
      </c>
      <c r="V278" s="17">
        <f t="shared" si="26"/>
        <v>0</v>
      </c>
      <c r="W278" s="17">
        <f>703531.2+29850</f>
        <v>733381.2</v>
      </c>
    </row>
    <row r="279" spans="1:23" ht="37.5">
      <c r="A279" s="134"/>
      <c r="B279" s="134"/>
      <c r="C279" s="134"/>
      <c r="D279" s="146"/>
      <c r="E279" s="20" t="s">
        <v>369</v>
      </c>
      <c r="F279" s="68">
        <f t="shared" si="35"/>
        <v>450000</v>
      </c>
      <c r="G279" s="76">
        <v>1</v>
      </c>
      <c r="H279" s="68">
        <f t="shared" si="34"/>
        <v>450000</v>
      </c>
      <c r="I279" s="21">
        <f>900000-450000</f>
        <v>450000</v>
      </c>
      <c r="J279" s="17"/>
      <c r="K279" s="17"/>
      <c r="L279" s="17"/>
      <c r="M279" s="17"/>
      <c r="N279" s="17"/>
      <c r="O279" s="17"/>
      <c r="P279" s="17">
        <v>50000</v>
      </c>
      <c r="Q279" s="17">
        <v>189500</v>
      </c>
      <c r="R279" s="17"/>
      <c r="S279" s="17">
        <v>100000</v>
      </c>
      <c r="T279" s="17">
        <v>100000</v>
      </c>
      <c r="U279" s="17">
        <v>10500</v>
      </c>
      <c r="V279" s="17">
        <f t="shared" si="26"/>
        <v>0</v>
      </c>
      <c r="W279" s="17"/>
    </row>
    <row r="280" spans="1:23" ht="37.5">
      <c r="A280" s="134"/>
      <c r="B280" s="134"/>
      <c r="C280" s="134"/>
      <c r="D280" s="146"/>
      <c r="E280" s="20" t="s">
        <v>370</v>
      </c>
      <c r="F280" s="68">
        <f t="shared" si="35"/>
        <v>1000000</v>
      </c>
      <c r="G280" s="76">
        <v>1</v>
      </c>
      <c r="H280" s="68">
        <f t="shared" si="34"/>
        <v>1000000</v>
      </c>
      <c r="I280" s="21">
        <f>500000+500000</f>
        <v>1000000</v>
      </c>
      <c r="J280" s="17"/>
      <c r="K280" s="17"/>
      <c r="L280" s="17"/>
      <c r="M280" s="17"/>
      <c r="N280" s="17"/>
      <c r="O280" s="17"/>
      <c r="P280" s="17">
        <v>150000</v>
      </c>
      <c r="Q280" s="17">
        <v>100000</v>
      </c>
      <c r="R280" s="17"/>
      <c r="S280" s="17">
        <v>450000</v>
      </c>
      <c r="T280" s="17">
        <v>300000</v>
      </c>
      <c r="U280" s="17"/>
      <c r="V280" s="17">
        <f t="shared" si="26"/>
        <v>0</v>
      </c>
      <c r="W280" s="17"/>
    </row>
    <row r="281" spans="1:23" ht="37.5">
      <c r="A281" s="134"/>
      <c r="B281" s="134"/>
      <c r="C281" s="134"/>
      <c r="D281" s="146"/>
      <c r="E281" s="20" t="s">
        <v>371</v>
      </c>
      <c r="F281" s="68">
        <f t="shared" si="35"/>
        <v>150000</v>
      </c>
      <c r="G281" s="76">
        <v>1</v>
      </c>
      <c r="H281" s="68">
        <f t="shared" si="34"/>
        <v>150000</v>
      </c>
      <c r="I281" s="21">
        <v>150000</v>
      </c>
      <c r="J281" s="17"/>
      <c r="K281" s="17"/>
      <c r="L281" s="17"/>
      <c r="M281" s="17"/>
      <c r="N281" s="17"/>
      <c r="O281" s="17"/>
      <c r="P281" s="17"/>
      <c r="Q281" s="17">
        <v>70000</v>
      </c>
      <c r="R281" s="17"/>
      <c r="S281" s="17">
        <v>80000</v>
      </c>
      <c r="T281" s="17"/>
      <c r="U281" s="17"/>
      <c r="V281" s="17">
        <f t="shared" si="26"/>
        <v>0</v>
      </c>
      <c r="W281" s="17"/>
    </row>
    <row r="282" spans="1:23" ht="37.5">
      <c r="A282" s="134"/>
      <c r="B282" s="134"/>
      <c r="C282" s="134"/>
      <c r="D282" s="146"/>
      <c r="E282" s="20" t="s">
        <v>372</v>
      </c>
      <c r="F282" s="68">
        <f t="shared" si="35"/>
        <v>1300000</v>
      </c>
      <c r="G282" s="76">
        <v>1</v>
      </c>
      <c r="H282" s="68">
        <f t="shared" si="34"/>
        <v>1300000</v>
      </c>
      <c r="I282" s="21">
        <f>1470000-124500-45500</f>
        <v>1300000</v>
      </c>
      <c r="J282" s="17"/>
      <c r="K282" s="17"/>
      <c r="L282" s="17"/>
      <c r="M282" s="17"/>
      <c r="N282" s="17">
        <v>650000</v>
      </c>
      <c r="O282" s="17">
        <v>-20000</v>
      </c>
      <c r="P282" s="17">
        <f>470000-124500-45500</f>
        <v>300000</v>
      </c>
      <c r="Q282" s="17">
        <v>100000</v>
      </c>
      <c r="R282" s="17"/>
      <c r="S282" s="17">
        <v>200000</v>
      </c>
      <c r="T282" s="17">
        <f>300000-300000</f>
        <v>0</v>
      </c>
      <c r="U282" s="17">
        <f>400000-350000+20000</f>
        <v>70000</v>
      </c>
      <c r="V282" s="17">
        <f t="shared" si="26"/>
        <v>0</v>
      </c>
      <c r="W282" s="17">
        <f>15000+612372</f>
        <v>627372</v>
      </c>
    </row>
    <row r="283" spans="1:23" ht="37.5">
      <c r="A283" s="134"/>
      <c r="B283" s="134"/>
      <c r="C283" s="134"/>
      <c r="D283" s="146"/>
      <c r="E283" s="20" t="s">
        <v>95</v>
      </c>
      <c r="F283" s="68">
        <f t="shared" si="35"/>
        <v>500000</v>
      </c>
      <c r="G283" s="76"/>
      <c r="H283" s="68">
        <f t="shared" si="34"/>
        <v>500000</v>
      </c>
      <c r="I283" s="21">
        <f>250000+250000</f>
        <v>500000</v>
      </c>
      <c r="J283" s="17"/>
      <c r="K283" s="17"/>
      <c r="L283" s="17"/>
      <c r="M283" s="17"/>
      <c r="N283" s="17"/>
      <c r="O283" s="17">
        <f>50000-50000+15000</f>
        <v>15000</v>
      </c>
      <c r="P283" s="17">
        <v>80000</v>
      </c>
      <c r="Q283" s="17"/>
      <c r="R283" s="17"/>
      <c r="S283" s="17">
        <f>200000+105000</f>
        <v>305000</v>
      </c>
      <c r="T283" s="17">
        <v>50000</v>
      </c>
      <c r="U283" s="17">
        <v>50000</v>
      </c>
      <c r="V283" s="17">
        <f>I283-J283-K283-L283-M283-N283-O283-P283-Q283-R283-S283-T283-U283</f>
        <v>0</v>
      </c>
      <c r="W283" s="17"/>
    </row>
    <row r="284" spans="1:23" ht="36" hidden="1">
      <c r="A284" s="134"/>
      <c r="B284" s="134"/>
      <c r="C284" s="134"/>
      <c r="D284" s="146"/>
      <c r="E284" s="20" t="s">
        <v>1039</v>
      </c>
      <c r="F284" s="68">
        <f t="shared" si="35"/>
        <v>0</v>
      </c>
      <c r="G284" s="76">
        <v>1</v>
      </c>
      <c r="H284" s="68">
        <f t="shared" si="34"/>
        <v>0</v>
      </c>
      <c r="I284" s="21">
        <f>350000-250000+150000-250000</f>
        <v>0</v>
      </c>
      <c r="J284" s="17"/>
      <c r="K284" s="17"/>
      <c r="L284" s="17"/>
      <c r="M284" s="17">
        <v>15000</v>
      </c>
      <c r="N284" s="17"/>
      <c r="O284" s="17">
        <f>150000-50000-100000-15000</f>
        <v>-15000</v>
      </c>
      <c r="P284" s="17">
        <f>30000+50000-80000</f>
        <v>0</v>
      </c>
      <c r="Q284" s="17"/>
      <c r="R284" s="17"/>
      <c r="S284" s="17">
        <f>200000-200000+105000-105000</f>
        <v>0</v>
      </c>
      <c r="T284" s="17">
        <f>50000-50000</f>
        <v>0</v>
      </c>
      <c r="U284" s="17"/>
      <c r="V284" s="17">
        <f t="shared" si="26"/>
        <v>0</v>
      </c>
      <c r="W284" s="17"/>
    </row>
    <row r="285" spans="1:23" ht="37.5">
      <c r="A285" s="134"/>
      <c r="B285" s="134"/>
      <c r="C285" s="134"/>
      <c r="D285" s="146"/>
      <c r="E285" s="20" t="s">
        <v>1040</v>
      </c>
      <c r="F285" s="68">
        <f t="shared" si="35"/>
        <v>470000</v>
      </c>
      <c r="G285" s="76">
        <v>1</v>
      </c>
      <c r="H285" s="68">
        <f t="shared" si="34"/>
        <v>470000</v>
      </c>
      <c r="I285" s="21">
        <v>470000</v>
      </c>
      <c r="J285" s="17"/>
      <c r="K285" s="17"/>
      <c r="L285" s="17"/>
      <c r="M285" s="17"/>
      <c r="N285" s="17"/>
      <c r="O285" s="17"/>
      <c r="P285" s="17">
        <v>50000</v>
      </c>
      <c r="Q285" s="17">
        <v>100000</v>
      </c>
      <c r="R285" s="17"/>
      <c r="S285" s="17">
        <v>220000</v>
      </c>
      <c r="T285" s="17">
        <v>100000</v>
      </c>
      <c r="U285" s="17"/>
      <c r="V285" s="17">
        <f t="shared" si="26"/>
        <v>0</v>
      </c>
      <c r="W285" s="17"/>
    </row>
    <row r="286" spans="1:23" ht="37.5">
      <c r="A286" s="134"/>
      <c r="B286" s="134"/>
      <c r="C286" s="134"/>
      <c r="D286" s="146"/>
      <c r="E286" s="20" t="s">
        <v>1041</v>
      </c>
      <c r="F286" s="68">
        <f t="shared" si="35"/>
        <v>700000</v>
      </c>
      <c r="G286" s="76">
        <v>1</v>
      </c>
      <c r="H286" s="68">
        <f t="shared" si="34"/>
        <v>700000</v>
      </c>
      <c r="I286" s="21">
        <v>700000</v>
      </c>
      <c r="J286" s="17"/>
      <c r="K286" s="17"/>
      <c r="L286" s="17"/>
      <c r="M286" s="17"/>
      <c r="N286" s="17">
        <v>400000</v>
      </c>
      <c r="O286" s="17">
        <f>-74000</f>
        <v>-74000</v>
      </c>
      <c r="P286" s="17">
        <f>300000-100000</f>
        <v>200000</v>
      </c>
      <c r="Q286" s="17">
        <f>100000-100000+55000</f>
        <v>55000</v>
      </c>
      <c r="R286" s="17"/>
      <c r="S286" s="17">
        <f>150000-150000+19000</f>
        <v>19000</v>
      </c>
      <c r="T286" s="17">
        <f>150000-50000</f>
        <v>100000</v>
      </c>
      <c r="U286" s="17"/>
      <c r="V286" s="17">
        <f aca="true" t="shared" si="36" ref="V286:V359">I286-J286-K286-L286-M286-N286-O286-P286-Q286-R286-S286-T286-U286</f>
        <v>0</v>
      </c>
      <c r="W286" s="17">
        <f>325249.2</f>
        <v>325249.2</v>
      </c>
    </row>
    <row r="287" spans="1:23" ht="37.5">
      <c r="A287" s="134"/>
      <c r="B287" s="134"/>
      <c r="C287" s="134"/>
      <c r="D287" s="146"/>
      <c r="E287" s="20" t="s">
        <v>316</v>
      </c>
      <c r="F287" s="68">
        <f t="shared" si="35"/>
        <v>650000</v>
      </c>
      <c r="G287" s="76"/>
      <c r="H287" s="68">
        <f t="shared" si="34"/>
        <v>650000</v>
      </c>
      <c r="I287" s="21">
        <v>650000</v>
      </c>
      <c r="J287" s="17"/>
      <c r="K287" s="17"/>
      <c r="L287" s="17"/>
      <c r="M287" s="17"/>
      <c r="N287" s="17"/>
      <c r="O287" s="17"/>
      <c r="P287" s="17">
        <v>200000</v>
      </c>
      <c r="Q287" s="17">
        <v>210000</v>
      </c>
      <c r="R287" s="17"/>
      <c r="S287" s="17"/>
      <c r="T287" s="17">
        <v>120000</v>
      </c>
      <c r="U287" s="17">
        <v>120000</v>
      </c>
      <c r="V287" s="17">
        <f t="shared" si="36"/>
        <v>0</v>
      </c>
      <c r="W287" s="17"/>
    </row>
    <row r="288" spans="1:23" ht="37.5">
      <c r="A288" s="134"/>
      <c r="B288" s="134"/>
      <c r="C288" s="134"/>
      <c r="D288" s="146"/>
      <c r="E288" s="20" t="s">
        <v>1042</v>
      </c>
      <c r="F288" s="68">
        <f t="shared" si="35"/>
        <v>400000</v>
      </c>
      <c r="G288" s="76">
        <v>1</v>
      </c>
      <c r="H288" s="68">
        <f t="shared" si="34"/>
        <v>400000</v>
      </c>
      <c r="I288" s="21">
        <v>400000</v>
      </c>
      <c r="J288" s="17"/>
      <c r="K288" s="17"/>
      <c r="L288" s="17"/>
      <c r="M288" s="17"/>
      <c r="N288" s="17"/>
      <c r="O288" s="17"/>
      <c r="P288" s="17"/>
      <c r="Q288" s="17">
        <v>150000</v>
      </c>
      <c r="R288" s="17"/>
      <c r="S288" s="17">
        <v>150000</v>
      </c>
      <c r="T288" s="17"/>
      <c r="U288" s="17">
        <v>100000</v>
      </c>
      <c r="V288" s="17">
        <f t="shared" si="36"/>
        <v>0</v>
      </c>
      <c r="W288" s="17"/>
    </row>
    <row r="289" spans="1:23" ht="36" hidden="1">
      <c r="A289" s="134"/>
      <c r="B289" s="134"/>
      <c r="C289" s="134"/>
      <c r="D289" s="146"/>
      <c r="E289" s="20" t="s">
        <v>1043</v>
      </c>
      <c r="F289" s="68">
        <f t="shared" si="35"/>
        <v>0</v>
      </c>
      <c r="G289" s="76">
        <v>1</v>
      </c>
      <c r="H289" s="68">
        <f t="shared" si="34"/>
        <v>0</v>
      </c>
      <c r="I289" s="21">
        <f>380000-380000</f>
        <v>0</v>
      </c>
      <c r="J289" s="17"/>
      <c r="K289" s="17"/>
      <c r="L289" s="17"/>
      <c r="M289" s="17"/>
      <c r="N289" s="17"/>
      <c r="O289" s="17"/>
      <c r="P289" s="17"/>
      <c r="Q289" s="17">
        <f>100000-100000</f>
        <v>0</v>
      </c>
      <c r="R289" s="17"/>
      <c r="S289" s="17">
        <f>180000-180000</f>
        <v>0</v>
      </c>
      <c r="T289" s="17"/>
      <c r="U289" s="17">
        <f>100000-100000</f>
        <v>0</v>
      </c>
      <c r="V289" s="17">
        <f t="shared" si="36"/>
        <v>0</v>
      </c>
      <c r="W289" s="17"/>
    </row>
    <row r="290" spans="1:23" ht="37.5">
      <c r="A290" s="134"/>
      <c r="B290" s="134"/>
      <c r="C290" s="134"/>
      <c r="D290" s="146"/>
      <c r="E290" s="20" t="s">
        <v>1044</v>
      </c>
      <c r="F290" s="68">
        <f t="shared" si="35"/>
        <v>1500000</v>
      </c>
      <c r="G290" s="76">
        <v>1</v>
      </c>
      <c r="H290" s="68">
        <f t="shared" si="34"/>
        <v>1500000</v>
      </c>
      <c r="I290" s="21">
        <f>2000000-500000</f>
        <v>1500000</v>
      </c>
      <c r="J290" s="17"/>
      <c r="K290" s="17"/>
      <c r="L290" s="17"/>
      <c r="M290" s="17"/>
      <c r="N290" s="17"/>
      <c r="O290" s="17"/>
      <c r="P290" s="17">
        <f>500000-19000</f>
        <v>481000</v>
      </c>
      <c r="Q290" s="17">
        <v>100000</v>
      </c>
      <c r="R290" s="17">
        <v>19000</v>
      </c>
      <c r="S290" s="17">
        <v>200000</v>
      </c>
      <c r="T290" s="17">
        <v>300000</v>
      </c>
      <c r="U290" s="17">
        <v>400000</v>
      </c>
      <c r="V290" s="17">
        <f t="shared" si="36"/>
        <v>0</v>
      </c>
      <c r="W290" s="17"/>
    </row>
    <row r="291" spans="1:23" ht="37.5">
      <c r="A291" s="134"/>
      <c r="B291" s="134"/>
      <c r="C291" s="134"/>
      <c r="D291" s="146"/>
      <c r="E291" s="20" t="s">
        <v>1045</v>
      </c>
      <c r="F291" s="68">
        <f t="shared" si="35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>
        <f>1000000-1000000</f>
        <v>0</v>
      </c>
      <c r="O291" s="17">
        <f>600000</f>
        <v>600000</v>
      </c>
      <c r="P291" s="17">
        <f>470000-171000</f>
        <v>299000</v>
      </c>
      <c r="Q291" s="17">
        <f>100000-100000</f>
        <v>0</v>
      </c>
      <c r="R291" s="17">
        <v>350000</v>
      </c>
      <c r="S291" s="17">
        <f>200000-200000+600000-600000</f>
        <v>0</v>
      </c>
      <c r="T291" s="17">
        <f>300000-300000+50000</f>
        <v>50000</v>
      </c>
      <c r="U291" s="17">
        <f>400000-229000</f>
        <v>171000</v>
      </c>
      <c r="V291" s="17">
        <f t="shared" si="36"/>
        <v>0</v>
      </c>
      <c r="W291" s="17">
        <f>600000</f>
        <v>600000</v>
      </c>
    </row>
    <row r="292" spans="1:23" ht="37.5">
      <c r="A292" s="134"/>
      <c r="B292" s="134"/>
      <c r="C292" s="134"/>
      <c r="D292" s="146"/>
      <c r="E292" s="20" t="s">
        <v>54</v>
      </c>
      <c r="F292" s="68">
        <f>I292</f>
        <v>1470000</v>
      </c>
      <c r="G292" s="76">
        <v>1</v>
      </c>
      <c r="H292" s="68">
        <f>I292</f>
        <v>1470000</v>
      </c>
      <c r="I292" s="21">
        <v>1470000</v>
      </c>
      <c r="J292" s="17"/>
      <c r="K292" s="17"/>
      <c r="L292" s="17"/>
      <c r="M292" s="17"/>
      <c r="N292" s="17">
        <v>750000</v>
      </c>
      <c r="O292" s="17">
        <f>-46000</f>
        <v>-46000</v>
      </c>
      <c r="P292" s="17">
        <f>470000-312000</f>
        <v>158000</v>
      </c>
      <c r="Q292" s="17">
        <f>100000-100000</f>
        <v>0</v>
      </c>
      <c r="R292" s="17"/>
      <c r="S292" s="17">
        <f>200000-200000+46000</f>
        <v>46000</v>
      </c>
      <c r="T292" s="17">
        <f>300000-138000</f>
        <v>162000</v>
      </c>
      <c r="U292" s="17">
        <v>400000</v>
      </c>
      <c r="V292" s="17">
        <f t="shared" si="36"/>
        <v>0</v>
      </c>
      <c r="W292" s="17">
        <f>703460.4</f>
        <v>703460.4</v>
      </c>
    </row>
    <row r="293" spans="1:23" ht="37.5">
      <c r="A293" s="134"/>
      <c r="B293" s="134"/>
      <c r="C293" s="134"/>
      <c r="D293" s="146"/>
      <c r="E293" s="20" t="s">
        <v>325</v>
      </c>
      <c r="F293" s="68">
        <f>I293</f>
        <v>450000</v>
      </c>
      <c r="G293" s="76"/>
      <c r="H293" s="68">
        <f>I293</f>
        <v>450000</v>
      </c>
      <c r="I293" s="21">
        <v>450000</v>
      </c>
      <c r="J293" s="17"/>
      <c r="K293" s="17"/>
      <c r="L293" s="17"/>
      <c r="M293" s="17"/>
      <c r="N293" s="17"/>
      <c r="O293" s="17"/>
      <c r="P293" s="17"/>
      <c r="Q293" s="17"/>
      <c r="R293" s="17">
        <v>450000</v>
      </c>
      <c r="S293" s="17"/>
      <c r="T293" s="17"/>
      <c r="U293" s="17"/>
      <c r="V293" s="17">
        <f t="shared" si="36"/>
        <v>0</v>
      </c>
      <c r="W293" s="17"/>
    </row>
    <row r="294" spans="1:23" ht="37.5">
      <c r="A294" s="134"/>
      <c r="B294" s="134"/>
      <c r="C294" s="134"/>
      <c r="D294" s="146"/>
      <c r="E294" s="20" t="s">
        <v>1046</v>
      </c>
      <c r="F294" s="68">
        <f t="shared" si="35"/>
        <v>500000</v>
      </c>
      <c r="G294" s="76">
        <v>1</v>
      </c>
      <c r="H294" s="68">
        <f t="shared" si="34"/>
        <v>500000</v>
      </c>
      <c r="I294" s="21">
        <v>500000</v>
      </c>
      <c r="J294" s="17"/>
      <c r="K294" s="17"/>
      <c r="L294" s="17"/>
      <c r="M294" s="17"/>
      <c r="N294" s="17">
        <f>30000+250000</f>
        <v>280000</v>
      </c>
      <c r="O294" s="17"/>
      <c r="P294" s="17">
        <f>130000-130000</f>
        <v>0</v>
      </c>
      <c r="Q294" s="17">
        <f>150000-30000-120000</f>
        <v>0</v>
      </c>
      <c r="R294" s="17"/>
      <c r="S294" s="17">
        <v>220000</v>
      </c>
      <c r="T294" s="17"/>
      <c r="U294" s="17"/>
      <c r="V294" s="17">
        <f t="shared" si="36"/>
        <v>0</v>
      </c>
      <c r="W294" s="17">
        <f>25759+199993.68</f>
        <v>225752.68</v>
      </c>
    </row>
    <row r="295" spans="1:23" ht="37.5">
      <c r="A295" s="134"/>
      <c r="B295" s="134"/>
      <c r="C295" s="134"/>
      <c r="D295" s="146"/>
      <c r="E295" s="20" t="s">
        <v>1047</v>
      </c>
      <c r="F295" s="68">
        <f t="shared" si="35"/>
        <v>500000</v>
      </c>
      <c r="G295" s="76">
        <v>1</v>
      </c>
      <c r="H295" s="68">
        <f t="shared" si="34"/>
        <v>500000</v>
      </c>
      <c r="I295" s="21">
        <v>500000</v>
      </c>
      <c r="J295" s="17"/>
      <c r="K295" s="17"/>
      <c r="L295" s="17"/>
      <c r="M295" s="17"/>
      <c r="N295" s="17">
        <f>115000-115000</f>
        <v>0</v>
      </c>
      <c r="O295" s="17"/>
      <c r="P295" s="17"/>
      <c r="Q295" s="17">
        <f>150000-35000</f>
        <v>115000</v>
      </c>
      <c r="R295" s="17"/>
      <c r="S295" s="17">
        <f>220000-80000</f>
        <v>140000</v>
      </c>
      <c r="T295" s="17">
        <v>115000</v>
      </c>
      <c r="U295" s="17">
        <v>130000</v>
      </c>
      <c r="V295" s="17">
        <f t="shared" si="36"/>
        <v>0</v>
      </c>
      <c r="W295" s="17"/>
    </row>
    <row r="296" spans="1:23" ht="37.5">
      <c r="A296" s="134"/>
      <c r="B296" s="134"/>
      <c r="C296" s="134"/>
      <c r="D296" s="146"/>
      <c r="E296" s="20" t="s">
        <v>1048</v>
      </c>
      <c r="F296" s="68">
        <f t="shared" si="35"/>
        <v>150000</v>
      </c>
      <c r="G296" s="76">
        <v>1</v>
      </c>
      <c r="H296" s="68">
        <f t="shared" si="34"/>
        <v>150000</v>
      </c>
      <c r="I296" s="21">
        <v>150000</v>
      </c>
      <c r="J296" s="17"/>
      <c r="K296" s="17"/>
      <c r="L296" s="17"/>
      <c r="M296" s="17"/>
      <c r="N296" s="17"/>
      <c r="O296" s="17"/>
      <c r="P296" s="17"/>
      <c r="Q296" s="17">
        <v>70000</v>
      </c>
      <c r="R296" s="17"/>
      <c r="S296" s="17">
        <v>80000</v>
      </c>
      <c r="T296" s="17"/>
      <c r="U296" s="17"/>
      <c r="V296" s="17">
        <f t="shared" si="36"/>
        <v>0</v>
      </c>
      <c r="W296" s="17"/>
    </row>
    <row r="297" spans="1:23" ht="37.5">
      <c r="A297" s="134"/>
      <c r="B297" s="134"/>
      <c r="C297" s="134"/>
      <c r="D297" s="146"/>
      <c r="E297" s="20" t="s">
        <v>1049</v>
      </c>
      <c r="F297" s="68">
        <f t="shared" si="35"/>
        <v>400000</v>
      </c>
      <c r="G297" s="76">
        <v>1</v>
      </c>
      <c r="H297" s="68">
        <f t="shared" si="34"/>
        <v>400000</v>
      </c>
      <c r="I297" s="21">
        <f>600000-200000</f>
        <v>400000</v>
      </c>
      <c r="J297" s="17"/>
      <c r="K297" s="17"/>
      <c r="L297" s="17"/>
      <c r="M297" s="17"/>
      <c r="N297" s="17"/>
      <c r="O297" s="17"/>
      <c r="P297" s="17">
        <v>120000</v>
      </c>
      <c r="Q297" s="17">
        <v>100000</v>
      </c>
      <c r="R297" s="17"/>
      <c r="S297" s="17">
        <v>180000</v>
      </c>
      <c r="T297" s="17"/>
      <c r="U297" s="17"/>
      <c r="V297" s="17">
        <f t="shared" si="36"/>
        <v>0</v>
      </c>
      <c r="W297" s="17"/>
    </row>
    <row r="298" spans="1:23" ht="37.5">
      <c r="A298" s="134"/>
      <c r="B298" s="134"/>
      <c r="C298" s="134"/>
      <c r="D298" s="146"/>
      <c r="E298" s="20" t="s">
        <v>425</v>
      </c>
      <c r="F298" s="68">
        <f t="shared" si="35"/>
        <v>200000</v>
      </c>
      <c r="G298" s="76">
        <v>1</v>
      </c>
      <c r="H298" s="68">
        <f t="shared" si="34"/>
        <v>200000</v>
      </c>
      <c r="I298" s="21">
        <v>200000</v>
      </c>
      <c r="J298" s="17"/>
      <c r="K298" s="17"/>
      <c r="L298" s="17"/>
      <c r="M298" s="17"/>
      <c r="N298" s="17"/>
      <c r="O298" s="17"/>
      <c r="P298" s="17">
        <v>22350</v>
      </c>
      <c r="Q298" s="17">
        <v>80000</v>
      </c>
      <c r="R298" s="17">
        <v>17650</v>
      </c>
      <c r="S298" s="17">
        <v>80000</v>
      </c>
      <c r="T298" s="17"/>
      <c r="U298" s="17"/>
      <c r="V298" s="17">
        <f t="shared" si="36"/>
        <v>0</v>
      </c>
      <c r="W298" s="17"/>
    </row>
    <row r="299" spans="1:23" ht="37.5">
      <c r="A299" s="134"/>
      <c r="B299" s="134"/>
      <c r="C299" s="134"/>
      <c r="D299" s="146"/>
      <c r="E299" s="20" t="s">
        <v>1050</v>
      </c>
      <c r="F299" s="68">
        <f t="shared" si="35"/>
        <v>51200</v>
      </c>
      <c r="G299" s="76">
        <v>1</v>
      </c>
      <c r="H299" s="68">
        <f t="shared" si="34"/>
        <v>51200</v>
      </c>
      <c r="I299" s="21">
        <v>51200</v>
      </c>
      <c r="J299" s="17"/>
      <c r="K299" s="17"/>
      <c r="L299" s="17"/>
      <c r="M299" s="17"/>
      <c r="N299" s="17"/>
      <c r="O299" s="17"/>
      <c r="P299" s="17"/>
      <c r="Q299" s="17"/>
      <c r="R299" s="17"/>
      <c r="S299" s="17">
        <v>51200</v>
      </c>
      <c r="T299" s="17"/>
      <c r="U299" s="17"/>
      <c r="V299" s="17">
        <f t="shared" si="36"/>
        <v>0</v>
      </c>
      <c r="W299" s="17"/>
    </row>
    <row r="300" spans="1:23" ht="37.5">
      <c r="A300" s="134"/>
      <c r="B300" s="134"/>
      <c r="C300" s="134"/>
      <c r="D300" s="146"/>
      <c r="E300" s="20" t="s">
        <v>1051</v>
      </c>
      <c r="F300" s="68">
        <f t="shared" si="35"/>
        <v>1470000</v>
      </c>
      <c r="G300" s="76">
        <v>1</v>
      </c>
      <c r="H300" s="68">
        <f t="shared" si="34"/>
        <v>1470000</v>
      </c>
      <c r="I300" s="21">
        <v>1470000</v>
      </c>
      <c r="J300" s="17"/>
      <c r="K300" s="17"/>
      <c r="L300" s="17"/>
      <c r="M300" s="17"/>
      <c r="N300" s="17"/>
      <c r="O300" s="17"/>
      <c r="P300" s="17">
        <v>470000</v>
      </c>
      <c r="Q300" s="17">
        <v>100000</v>
      </c>
      <c r="R300" s="17"/>
      <c r="S300" s="17"/>
      <c r="T300" s="17">
        <v>500000</v>
      </c>
      <c r="U300" s="17">
        <v>400000</v>
      </c>
      <c r="V300" s="17">
        <f t="shared" si="36"/>
        <v>0</v>
      </c>
      <c r="W300" s="17"/>
    </row>
    <row r="301" spans="1:23" ht="45.75" customHeight="1">
      <c r="A301" s="134"/>
      <c r="B301" s="134"/>
      <c r="C301" s="134"/>
      <c r="D301" s="146"/>
      <c r="E301" s="20" t="s">
        <v>246</v>
      </c>
      <c r="F301" s="68">
        <f t="shared" si="35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750000</v>
      </c>
      <c r="O301" s="17"/>
      <c r="P301" s="17">
        <f>70000-70000</f>
        <v>0</v>
      </c>
      <c r="Q301" s="17">
        <v>146566.53</v>
      </c>
      <c r="R301" s="17">
        <f>233433.47-10500-220000</f>
        <v>2933.470000000001</v>
      </c>
      <c r="S301" s="17"/>
      <c r="T301" s="17">
        <f>630500-433958</f>
        <v>196542</v>
      </c>
      <c r="U301" s="17">
        <f>400000-26042</f>
        <v>373958</v>
      </c>
      <c r="V301" s="17">
        <f t="shared" si="36"/>
        <v>0</v>
      </c>
      <c r="W301" s="17">
        <f>15000+696138.4+34995</f>
        <v>746133.4</v>
      </c>
    </row>
    <row r="302" spans="1:23" ht="112.5">
      <c r="A302" s="134"/>
      <c r="B302" s="134"/>
      <c r="C302" s="134"/>
      <c r="D302" s="146"/>
      <c r="E302" s="20" t="s">
        <v>1094</v>
      </c>
      <c r="F302" s="68"/>
      <c r="G302" s="76"/>
      <c r="H302" s="68"/>
      <c r="I302" s="21">
        <f>1000000+30000</f>
        <v>1030000</v>
      </c>
      <c r="J302" s="17"/>
      <c r="K302" s="17"/>
      <c r="L302" s="17"/>
      <c r="M302" s="17"/>
      <c r="N302" s="17"/>
      <c r="O302" s="17">
        <v>1000000</v>
      </c>
      <c r="P302" s="17"/>
      <c r="Q302" s="17">
        <v>30000</v>
      </c>
      <c r="R302" s="17"/>
      <c r="S302" s="17"/>
      <c r="T302" s="17"/>
      <c r="U302" s="17"/>
      <c r="V302" s="17">
        <f t="shared" si="36"/>
        <v>0</v>
      </c>
      <c r="W302" s="17"/>
    </row>
    <row r="303" spans="1:23" ht="37.5">
      <c r="A303" s="134"/>
      <c r="B303" s="134"/>
      <c r="C303" s="134"/>
      <c r="D303" s="146"/>
      <c r="E303" s="20" t="s">
        <v>963</v>
      </c>
      <c r="F303" s="68">
        <f t="shared" si="35"/>
        <v>1470000</v>
      </c>
      <c r="G303" s="76">
        <v>1</v>
      </c>
      <c r="H303" s="68">
        <f t="shared" si="34"/>
        <v>1470000</v>
      </c>
      <c r="I303" s="21">
        <v>1470000</v>
      </c>
      <c r="J303" s="17"/>
      <c r="K303" s="17"/>
      <c r="L303" s="17"/>
      <c r="M303" s="17"/>
      <c r="N303" s="17">
        <v>350000</v>
      </c>
      <c r="O303" s="17"/>
      <c r="P303" s="17">
        <v>70000</v>
      </c>
      <c r="Q303" s="17">
        <v>100000</v>
      </c>
      <c r="R303" s="17">
        <f>400000-350000</f>
        <v>50000</v>
      </c>
      <c r="S303" s="17"/>
      <c r="T303" s="17">
        <v>500000</v>
      </c>
      <c r="U303" s="17">
        <v>400000</v>
      </c>
      <c r="V303" s="17">
        <f t="shared" si="36"/>
        <v>0</v>
      </c>
      <c r="W303" s="17">
        <f>350000</f>
        <v>350000</v>
      </c>
    </row>
    <row r="304" spans="1:23" ht="37.5">
      <c r="A304" s="134"/>
      <c r="B304" s="134"/>
      <c r="C304" s="134"/>
      <c r="D304" s="146"/>
      <c r="E304" s="20" t="s">
        <v>134</v>
      </c>
      <c r="F304" s="68">
        <f t="shared" si="35"/>
        <v>1470000</v>
      </c>
      <c r="G304" s="76">
        <v>1</v>
      </c>
      <c r="H304" s="68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>
        <v>500000</v>
      </c>
      <c r="R304" s="17"/>
      <c r="S304" s="17"/>
      <c r="T304" s="17">
        <v>500000</v>
      </c>
      <c r="U304" s="17">
        <v>400000</v>
      </c>
      <c r="V304" s="17">
        <f t="shared" si="36"/>
        <v>0</v>
      </c>
      <c r="W304" s="17"/>
    </row>
    <row r="305" spans="1:23" ht="93.75">
      <c r="A305" s="134"/>
      <c r="B305" s="134"/>
      <c r="C305" s="134"/>
      <c r="D305" s="146"/>
      <c r="E305" s="20" t="s">
        <v>964</v>
      </c>
      <c r="F305" s="68">
        <f t="shared" si="35"/>
        <v>1470000</v>
      </c>
      <c r="G305" s="76">
        <v>1</v>
      </c>
      <c r="H305" s="68">
        <f t="shared" si="34"/>
        <v>1470000</v>
      </c>
      <c r="I305" s="21">
        <v>1470000</v>
      </c>
      <c r="J305" s="17"/>
      <c r="K305" s="17"/>
      <c r="L305" s="17"/>
      <c r="M305" s="17"/>
      <c r="N305" s="17">
        <v>750000</v>
      </c>
      <c r="O305" s="17">
        <f>-16000</f>
        <v>-16000</v>
      </c>
      <c r="P305" s="17">
        <v>70000</v>
      </c>
      <c r="Q305" s="17">
        <f>500000-479000</f>
        <v>21000</v>
      </c>
      <c r="R305" s="17"/>
      <c r="S305" s="17">
        <f>16000</f>
        <v>16000</v>
      </c>
      <c r="T305" s="17">
        <f>500000-271000</f>
        <v>229000</v>
      </c>
      <c r="U305" s="17">
        <v>400000</v>
      </c>
      <c r="V305" s="17">
        <f t="shared" si="36"/>
        <v>0</v>
      </c>
      <c r="W305" s="17">
        <f>29920+703323</f>
        <v>733243</v>
      </c>
    </row>
    <row r="306" spans="1:23" ht="56.25">
      <c r="A306" s="134"/>
      <c r="B306" s="134"/>
      <c r="C306" s="134"/>
      <c r="D306" s="146"/>
      <c r="E306" s="29" t="s">
        <v>339</v>
      </c>
      <c r="F306" s="101">
        <f t="shared" si="35"/>
        <v>800000</v>
      </c>
      <c r="G306" s="76">
        <v>1</v>
      </c>
      <c r="H306" s="101">
        <f>I306</f>
        <v>800000</v>
      </c>
      <c r="I306" s="30">
        <v>800000</v>
      </c>
      <c r="J306" s="17"/>
      <c r="K306" s="17"/>
      <c r="L306" s="17">
        <v>579300</v>
      </c>
      <c r="M306" s="17"/>
      <c r="N306" s="17">
        <f>600000-579300-270000</f>
        <v>-249300</v>
      </c>
      <c r="O306" s="17">
        <v>470000</v>
      </c>
      <c r="P306" s="17">
        <f>200000-200000</f>
        <v>0</v>
      </c>
      <c r="Q306" s="17"/>
      <c r="R306" s="17"/>
      <c r="S306" s="17"/>
      <c r="T306" s="17">
        <f>110000-110000</f>
        <v>0</v>
      </c>
      <c r="U306" s="17">
        <f>160000-160000</f>
        <v>0</v>
      </c>
      <c r="V306" s="17">
        <f>I306-J306-K306-L306-M306-N306-O306-P306-Q306-R306-S306-T306-U306</f>
        <v>0</v>
      </c>
      <c r="W306" s="17">
        <f>280432+31231.2+10267.95+2700+474976.05</f>
        <v>799607.2</v>
      </c>
    </row>
    <row r="307" spans="1:23" ht="75">
      <c r="A307" s="134"/>
      <c r="B307" s="134"/>
      <c r="C307" s="134"/>
      <c r="D307" s="146"/>
      <c r="E307" s="20" t="s">
        <v>130</v>
      </c>
      <c r="F307" s="68">
        <f t="shared" si="35"/>
        <v>1340000</v>
      </c>
      <c r="G307" s="76">
        <v>1</v>
      </c>
      <c r="H307" s="68">
        <f>I307</f>
        <v>1340000</v>
      </c>
      <c r="I307" s="33">
        <f>1352000-12000</f>
        <v>1340000</v>
      </c>
      <c r="J307" s="17"/>
      <c r="K307" s="17"/>
      <c r="L307" s="17"/>
      <c r="M307" s="17"/>
      <c r="N307" s="17">
        <f>100000-60000</f>
        <v>40000</v>
      </c>
      <c r="O307" s="17">
        <f>-34000</f>
        <v>-34000</v>
      </c>
      <c r="P307" s="17">
        <v>100000</v>
      </c>
      <c r="Q307" s="17"/>
      <c r="R307" s="17">
        <v>275000</v>
      </c>
      <c r="S307" s="17">
        <f>400000+34000</f>
        <v>434000</v>
      </c>
      <c r="T307" s="17">
        <f>465000+31000</f>
        <v>496000</v>
      </c>
      <c r="U307" s="17">
        <v>29000</v>
      </c>
      <c r="V307" s="17">
        <f>I307-J307-K307-L307-M307-N307-O307-P307-Q307-R307-S307-T307-U307</f>
        <v>0</v>
      </c>
      <c r="W307" s="17"/>
    </row>
    <row r="308" spans="1:23" ht="56.25">
      <c r="A308" s="134"/>
      <c r="B308" s="134"/>
      <c r="C308" s="134"/>
      <c r="D308" s="146"/>
      <c r="E308" s="20" t="s">
        <v>328</v>
      </c>
      <c r="F308" s="68"/>
      <c r="G308" s="76"/>
      <c r="H308" s="68"/>
      <c r="I308" s="129">
        <v>1215000</v>
      </c>
      <c r="J308" s="17"/>
      <c r="K308" s="17"/>
      <c r="L308" s="17"/>
      <c r="M308" s="17"/>
      <c r="N308" s="17"/>
      <c r="O308" s="17">
        <f>100000+220000</f>
        <v>320000</v>
      </c>
      <c r="P308" s="17">
        <f>215000-215000</f>
        <v>0</v>
      </c>
      <c r="Q308" s="17">
        <f>400000-5000</f>
        <v>395000</v>
      </c>
      <c r="R308" s="17"/>
      <c r="S308" s="17"/>
      <c r="T308" s="17">
        <v>500000</v>
      </c>
      <c r="U308" s="17"/>
      <c r="V308" s="17">
        <f>I308-J308-K308-L308-M308-N308-O308-P308-Q308-R308-S308-T308-U308</f>
        <v>0</v>
      </c>
      <c r="W308" s="17">
        <f>319781.83</f>
        <v>319781.83</v>
      </c>
    </row>
    <row r="309" spans="1:23" ht="90" hidden="1">
      <c r="A309" s="133"/>
      <c r="B309" s="133"/>
      <c r="C309" s="133"/>
      <c r="D309" s="135"/>
      <c r="E309" s="20" t="s">
        <v>206</v>
      </c>
      <c r="F309" s="68">
        <f t="shared" si="35"/>
        <v>0</v>
      </c>
      <c r="G309" s="76">
        <v>1</v>
      </c>
      <c r="H309" s="68">
        <f t="shared" si="34"/>
        <v>0</v>
      </c>
      <c r="I309" s="21">
        <f>1215000-1215000</f>
        <v>0</v>
      </c>
      <c r="J309" s="17"/>
      <c r="K309" s="17"/>
      <c r="L309" s="17"/>
      <c r="M309" s="17"/>
      <c r="N309" s="17">
        <v>100000</v>
      </c>
      <c r="O309" s="17">
        <v>-100000</v>
      </c>
      <c r="P309" s="17">
        <f>215000-215000</f>
        <v>0</v>
      </c>
      <c r="Q309" s="17">
        <f>400000-400000</f>
        <v>0</v>
      </c>
      <c r="R309" s="17"/>
      <c r="S309" s="17"/>
      <c r="T309" s="17">
        <f>500000-500000</f>
        <v>0</v>
      </c>
      <c r="U309" s="17"/>
      <c r="V309" s="17">
        <f t="shared" si="36"/>
        <v>0</v>
      </c>
      <c r="W309" s="17"/>
    </row>
    <row r="310" spans="1:23" ht="18.75">
      <c r="A310" s="132" t="s">
        <v>762</v>
      </c>
      <c r="B310" s="132" t="s">
        <v>1033</v>
      </c>
      <c r="C310" s="132" t="s">
        <v>682</v>
      </c>
      <c r="D310" s="145" t="s">
        <v>1032</v>
      </c>
      <c r="E310" s="20"/>
      <c r="F310" s="20"/>
      <c r="G310" s="20"/>
      <c r="H310" s="20"/>
      <c r="I310" s="10">
        <f>SUM(I311:I356)</f>
        <v>48639597.86</v>
      </c>
      <c r="J310" s="10">
        <f aca="true" t="shared" si="37" ref="J310:W310">SUM(J311:J356)</f>
        <v>50000</v>
      </c>
      <c r="K310" s="10">
        <f t="shared" si="37"/>
        <v>5122657</v>
      </c>
      <c r="L310" s="10">
        <f t="shared" si="37"/>
        <v>250000</v>
      </c>
      <c r="M310" s="10">
        <f t="shared" si="37"/>
        <v>5262892.859999999</v>
      </c>
      <c r="N310" s="10">
        <f t="shared" si="37"/>
        <v>771883.74</v>
      </c>
      <c r="O310" s="10">
        <f t="shared" si="37"/>
        <v>847260</v>
      </c>
      <c r="P310" s="10">
        <f t="shared" si="37"/>
        <v>6177960</v>
      </c>
      <c r="Q310" s="10">
        <f t="shared" si="37"/>
        <v>5531908</v>
      </c>
      <c r="R310" s="10">
        <f t="shared" si="37"/>
        <v>1601360</v>
      </c>
      <c r="S310" s="10">
        <f t="shared" si="37"/>
        <v>5367960</v>
      </c>
      <c r="T310" s="10">
        <f t="shared" si="37"/>
        <v>9128360</v>
      </c>
      <c r="U310" s="10">
        <f t="shared" si="37"/>
        <v>8527356.26</v>
      </c>
      <c r="V310" s="10">
        <f t="shared" si="37"/>
        <v>0</v>
      </c>
      <c r="W310" s="10">
        <f t="shared" si="37"/>
        <v>12121401.44</v>
      </c>
    </row>
    <row r="311" spans="1:23" ht="36" hidden="1">
      <c r="A311" s="134"/>
      <c r="B311" s="134"/>
      <c r="C311" s="134"/>
      <c r="D311" s="146"/>
      <c r="E311" s="20" t="s">
        <v>965</v>
      </c>
      <c r="F311" s="68">
        <f>I311</f>
        <v>0</v>
      </c>
      <c r="G311" s="76">
        <v>1</v>
      </c>
      <c r="H311" s="68">
        <f t="shared" si="34"/>
        <v>0</v>
      </c>
      <c r="I311" s="21">
        <f>2950000-2950000</f>
        <v>0</v>
      </c>
      <c r="J311" s="17"/>
      <c r="K311" s="17"/>
      <c r="L311" s="17"/>
      <c r="M311" s="17"/>
      <c r="N311" s="17">
        <f>100000-100000</f>
        <v>0</v>
      </c>
      <c r="O311" s="17"/>
      <c r="P311" s="17">
        <f>400000-400000</f>
        <v>0</v>
      </c>
      <c r="Q311" s="17">
        <f>400000-400000</f>
        <v>0</v>
      </c>
      <c r="R311" s="17"/>
      <c r="S311" s="17">
        <f>1100000-1100000</f>
        <v>0</v>
      </c>
      <c r="T311" s="17">
        <f>500000+100000-600000</f>
        <v>0</v>
      </c>
      <c r="U311" s="17">
        <f>450000-450000</f>
        <v>0</v>
      </c>
      <c r="V311" s="17">
        <f t="shared" si="36"/>
        <v>0</v>
      </c>
      <c r="W311" s="17"/>
    </row>
    <row r="312" spans="1:23" ht="37.5">
      <c r="A312" s="134"/>
      <c r="B312" s="134"/>
      <c r="C312" s="134"/>
      <c r="D312" s="146"/>
      <c r="E312" s="20" t="s">
        <v>966</v>
      </c>
      <c r="F312" s="68">
        <f aca="true" t="shared" si="38" ref="F312:F356">I312</f>
        <v>800000</v>
      </c>
      <c r="G312" s="76">
        <v>1</v>
      </c>
      <c r="H312" s="68">
        <f t="shared" si="34"/>
        <v>800000</v>
      </c>
      <c r="I312" s="21">
        <v>800000</v>
      </c>
      <c r="J312" s="17"/>
      <c r="K312" s="17"/>
      <c r="L312" s="17"/>
      <c r="M312" s="17"/>
      <c r="N312" s="17">
        <f>100000-100000</f>
        <v>0</v>
      </c>
      <c r="O312" s="17"/>
      <c r="P312" s="17"/>
      <c r="Q312" s="17">
        <v>200000</v>
      </c>
      <c r="R312" s="17">
        <v>400000</v>
      </c>
      <c r="S312" s="17"/>
      <c r="T312" s="17">
        <v>100000</v>
      </c>
      <c r="U312" s="17">
        <v>100000</v>
      </c>
      <c r="V312" s="17">
        <f t="shared" si="36"/>
        <v>0</v>
      </c>
      <c r="W312" s="17"/>
    </row>
    <row r="313" spans="1:23" ht="37.5">
      <c r="A313" s="134"/>
      <c r="B313" s="134"/>
      <c r="C313" s="134"/>
      <c r="D313" s="146"/>
      <c r="E313" s="20" t="s">
        <v>967</v>
      </c>
      <c r="F313" s="68">
        <f t="shared" si="38"/>
        <v>1470000</v>
      </c>
      <c r="G313" s="76">
        <v>1</v>
      </c>
      <c r="H313" s="68">
        <f t="shared" si="34"/>
        <v>1470000</v>
      </c>
      <c r="I313" s="21">
        <v>1470000</v>
      </c>
      <c r="J313" s="17"/>
      <c r="K313" s="17"/>
      <c r="L313" s="17"/>
      <c r="M313" s="17"/>
      <c r="N313" s="17">
        <f>100000+750000</f>
        <v>850000</v>
      </c>
      <c r="O313" s="17">
        <f>-146000</f>
        <v>-146000</v>
      </c>
      <c r="P313" s="17">
        <f>70000-70000</f>
        <v>0</v>
      </c>
      <c r="Q313" s="17">
        <f>200000-200000</f>
        <v>0</v>
      </c>
      <c r="R313" s="17">
        <f>400000-71000</f>
        <v>329000</v>
      </c>
      <c r="S313" s="17"/>
      <c r="T313" s="17">
        <f>300000-250000+146000</f>
        <v>196000</v>
      </c>
      <c r="U313" s="17">
        <f>400000-159000</f>
        <v>241000</v>
      </c>
      <c r="V313" s="17">
        <f t="shared" si="36"/>
        <v>0</v>
      </c>
      <c r="W313" s="17">
        <f>703473.6</f>
        <v>703473.6</v>
      </c>
    </row>
    <row r="314" spans="1:23" ht="37.5">
      <c r="A314" s="134"/>
      <c r="B314" s="134"/>
      <c r="C314" s="134"/>
      <c r="D314" s="146"/>
      <c r="E314" s="20" t="s">
        <v>200</v>
      </c>
      <c r="F314" s="68">
        <f t="shared" si="38"/>
        <v>1470000</v>
      </c>
      <c r="G314" s="76">
        <v>1</v>
      </c>
      <c r="H314" s="68">
        <f t="shared" si="34"/>
        <v>1470000</v>
      </c>
      <c r="I314" s="21">
        <v>1470000</v>
      </c>
      <c r="J314" s="17"/>
      <c r="K314" s="17"/>
      <c r="L314" s="17"/>
      <c r="M314" s="17"/>
      <c r="N314" s="17">
        <v>780000</v>
      </c>
      <c r="O314" s="17">
        <f>-62000</f>
        <v>-62000</v>
      </c>
      <c r="P314" s="17"/>
      <c r="Q314" s="17"/>
      <c r="R314" s="17"/>
      <c r="S314" s="17"/>
      <c r="T314" s="17">
        <f>1470000-780000+62000</f>
        <v>752000</v>
      </c>
      <c r="U314" s="17"/>
      <c r="V314" s="17">
        <f t="shared" si="36"/>
        <v>0</v>
      </c>
      <c r="W314" s="17">
        <f>717723.5</f>
        <v>717723.5</v>
      </c>
    </row>
    <row r="315" spans="1:23" ht="37.5">
      <c r="A315" s="134"/>
      <c r="B315" s="134"/>
      <c r="C315" s="134"/>
      <c r="D315" s="146"/>
      <c r="E315" s="20" t="s">
        <v>968</v>
      </c>
      <c r="F315" s="68">
        <f t="shared" si="38"/>
        <v>990000</v>
      </c>
      <c r="G315" s="76">
        <v>1</v>
      </c>
      <c r="H315" s="68">
        <f t="shared" si="34"/>
        <v>990000</v>
      </c>
      <c r="I315" s="21">
        <v>990000</v>
      </c>
      <c r="J315" s="17"/>
      <c r="K315" s="17"/>
      <c r="L315" s="17"/>
      <c r="M315" s="17"/>
      <c r="N315" s="17">
        <v>700000</v>
      </c>
      <c r="O315" s="17">
        <f>-11000</f>
        <v>-11000</v>
      </c>
      <c r="P315" s="17">
        <f>100000-100000</f>
        <v>0</v>
      </c>
      <c r="Q315" s="17">
        <f>100000-100000</f>
        <v>0</v>
      </c>
      <c r="R315" s="17"/>
      <c r="S315" s="17"/>
      <c r="T315" s="17">
        <f>650000-500000+11000</f>
        <v>161000</v>
      </c>
      <c r="U315" s="17">
        <v>140000</v>
      </c>
      <c r="V315" s="17">
        <f t="shared" si="36"/>
        <v>0</v>
      </c>
      <c r="W315" s="17">
        <f>688660.4</f>
        <v>688660.4</v>
      </c>
    </row>
    <row r="316" spans="1:23" ht="37.5">
      <c r="A316" s="134"/>
      <c r="B316" s="134"/>
      <c r="C316" s="134"/>
      <c r="D316" s="146"/>
      <c r="E316" s="20" t="s">
        <v>969</v>
      </c>
      <c r="F316" s="68">
        <f t="shared" si="38"/>
        <v>1470000</v>
      </c>
      <c r="G316" s="76">
        <v>1</v>
      </c>
      <c r="H316" s="68">
        <f t="shared" si="34"/>
        <v>1470000</v>
      </c>
      <c r="I316" s="21">
        <v>1470000</v>
      </c>
      <c r="J316" s="17"/>
      <c r="K316" s="17"/>
      <c r="L316" s="17"/>
      <c r="M316" s="17"/>
      <c r="N316" s="17"/>
      <c r="O316" s="17">
        <f>625000</f>
        <v>625000</v>
      </c>
      <c r="P316" s="17">
        <v>70000</v>
      </c>
      <c r="Q316" s="17">
        <v>100000</v>
      </c>
      <c r="R316" s="17"/>
      <c r="S316" s="17"/>
      <c r="T316" s="17">
        <f>900000-625000</f>
        <v>275000</v>
      </c>
      <c r="U316" s="17">
        <v>400000</v>
      </c>
      <c r="V316" s="17">
        <f t="shared" si="36"/>
        <v>0</v>
      </c>
      <c r="W316" s="17">
        <f>625000</f>
        <v>625000</v>
      </c>
    </row>
    <row r="317" spans="1:23" ht="37.5">
      <c r="A317" s="134"/>
      <c r="B317" s="134"/>
      <c r="C317" s="134"/>
      <c r="D317" s="146"/>
      <c r="E317" s="20" t="s">
        <v>970</v>
      </c>
      <c r="F317" s="68">
        <f t="shared" si="38"/>
        <v>470000</v>
      </c>
      <c r="G317" s="76">
        <v>1</v>
      </c>
      <c r="H317" s="68">
        <f t="shared" si="34"/>
        <v>470000</v>
      </c>
      <c r="I317" s="21">
        <f>920000-450000</f>
        <v>470000</v>
      </c>
      <c r="J317" s="17"/>
      <c r="K317" s="17"/>
      <c r="L317" s="17"/>
      <c r="M317" s="17"/>
      <c r="N317" s="17"/>
      <c r="O317" s="17"/>
      <c r="P317" s="17">
        <v>50000</v>
      </c>
      <c r="Q317" s="17"/>
      <c r="R317" s="17"/>
      <c r="S317" s="17">
        <v>100000</v>
      </c>
      <c r="T317" s="17">
        <v>320000</v>
      </c>
      <c r="U317" s="17"/>
      <c r="V317" s="17">
        <f t="shared" si="36"/>
        <v>0</v>
      </c>
      <c r="W317" s="17"/>
    </row>
    <row r="318" spans="1:23" ht="36" hidden="1">
      <c r="A318" s="134"/>
      <c r="B318" s="134"/>
      <c r="C318" s="134"/>
      <c r="D318" s="146"/>
      <c r="E318" s="20" t="s">
        <v>971</v>
      </c>
      <c r="F318" s="68">
        <f t="shared" si="38"/>
        <v>0</v>
      </c>
      <c r="G318" s="76">
        <v>1</v>
      </c>
      <c r="H318" s="68">
        <f t="shared" si="34"/>
        <v>0</v>
      </c>
      <c r="I318" s="21">
        <f>900000-900000</f>
        <v>0</v>
      </c>
      <c r="J318" s="17"/>
      <c r="K318" s="17"/>
      <c r="L318" s="17"/>
      <c r="M318" s="17"/>
      <c r="N318" s="17">
        <v>100000</v>
      </c>
      <c r="O318" s="17">
        <v>-100000</v>
      </c>
      <c r="P318" s="17">
        <f>100000-100000</f>
        <v>0</v>
      </c>
      <c r="Q318" s="17"/>
      <c r="R318" s="17"/>
      <c r="S318" s="17">
        <f>100000-100000</f>
        <v>0</v>
      </c>
      <c r="T318" s="17">
        <f>600000-600000</f>
        <v>0</v>
      </c>
      <c r="U318" s="17"/>
      <c r="V318" s="17">
        <f t="shared" si="36"/>
        <v>0</v>
      </c>
      <c r="W318" s="17"/>
    </row>
    <row r="319" spans="1:23" ht="37.5">
      <c r="A319" s="134"/>
      <c r="B319" s="134"/>
      <c r="C319" s="134"/>
      <c r="D319" s="146"/>
      <c r="E319" s="130" t="s">
        <v>333</v>
      </c>
      <c r="F319" s="68">
        <f t="shared" si="38"/>
        <v>900000</v>
      </c>
      <c r="G319" s="76"/>
      <c r="H319" s="68">
        <f t="shared" si="34"/>
        <v>900000</v>
      </c>
      <c r="I319" s="21">
        <v>900000</v>
      </c>
      <c r="J319" s="17"/>
      <c r="K319" s="17"/>
      <c r="L319" s="17"/>
      <c r="M319" s="17"/>
      <c r="N319" s="17"/>
      <c r="O319" s="17">
        <f>100000-80000</f>
        <v>20000</v>
      </c>
      <c r="P319" s="17">
        <v>100000</v>
      </c>
      <c r="Q319" s="17"/>
      <c r="R319" s="17"/>
      <c r="S319" s="17">
        <v>100000</v>
      </c>
      <c r="T319" s="17">
        <f>600000+80000</f>
        <v>680000</v>
      </c>
      <c r="U319" s="17"/>
      <c r="V319" s="17">
        <f>I319-J319-K319-L319-M319-N319-O319-P319-Q319-R319-S319-T319-U319</f>
        <v>0</v>
      </c>
      <c r="W319" s="17">
        <f>19680</f>
        <v>19680</v>
      </c>
    </row>
    <row r="320" spans="1:23" ht="119.25" customHeight="1">
      <c r="A320" s="134"/>
      <c r="B320" s="134"/>
      <c r="C320" s="134"/>
      <c r="D320" s="146"/>
      <c r="E320" s="15" t="s">
        <v>536</v>
      </c>
      <c r="F320" s="68">
        <f t="shared" si="38"/>
        <v>768000</v>
      </c>
      <c r="G320" s="76">
        <v>1</v>
      </c>
      <c r="H320" s="68">
        <f t="shared" si="34"/>
        <v>768000</v>
      </c>
      <c r="I320" s="21">
        <v>768000</v>
      </c>
      <c r="J320" s="17"/>
      <c r="K320" s="17">
        <v>768000</v>
      </c>
      <c r="L320" s="17"/>
      <c r="M320" s="17"/>
      <c r="N320" s="17">
        <v>-768000</v>
      </c>
      <c r="O320" s="17"/>
      <c r="P320" s="17">
        <v>500000</v>
      </c>
      <c r="Q320" s="17">
        <v>120000</v>
      </c>
      <c r="R320" s="17"/>
      <c r="S320" s="17"/>
      <c r="T320" s="17"/>
      <c r="U320" s="17">
        <v>148000</v>
      </c>
      <c r="V320" s="17">
        <f t="shared" si="36"/>
        <v>0</v>
      </c>
      <c r="W320" s="17"/>
    </row>
    <row r="321" spans="1:23" ht="99.75" customHeight="1">
      <c r="A321" s="134"/>
      <c r="B321" s="134"/>
      <c r="C321" s="134"/>
      <c r="D321" s="146"/>
      <c r="E321" s="15" t="s">
        <v>832</v>
      </c>
      <c r="F321" s="68">
        <f t="shared" si="38"/>
        <v>1981000</v>
      </c>
      <c r="G321" s="76">
        <v>1</v>
      </c>
      <c r="H321" s="68">
        <f t="shared" si="34"/>
        <v>1981000</v>
      </c>
      <c r="I321" s="21">
        <v>1981000</v>
      </c>
      <c r="J321" s="17"/>
      <c r="K321" s="17">
        <f>500000+678000</f>
        <v>1178000</v>
      </c>
      <c r="L321" s="17">
        <v>250000</v>
      </c>
      <c r="M321" s="17">
        <f>273000</f>
        <v>273000</v>
      </c>
      <c r="N321" s="17">
        <f>280000-1111000</f>
        <v>-831000</v>
      </c>
      <c r="O321" s="17"/>
      <c r="P321" s="17">
        <v>511000</v>
      </c>
      <c r="Q321" s="17">
        <v>600000</v>
      </c>
      <c r="R321" s="17"/>
      <c r="S321" s="17"/>
      <c r="T321" s="17"/>
      <c r="U321" s="17"/>
      <c r="V321" s="17">
        <f t="shared" si="36"/>
        <v>0</v>
      </c>
      <c r="W321" s="17">
        <f>853039.2+7754.63</f>
        <v>860793.83</v>
      </c>
    </row>
    <row r="322" spans="1:23" ht="37.5">
      <c r="A322" s="134"/>
      <c r="B322" s="134"/>
      <c r="C322" s="134"/>
      <c r="D322" s="146"/>
      <c r="E322" s="15" t="s">
        <v>972</v>
      </c>
      <c r="F322" s="68">
        <f t="shared" si="38"/>
        <v>1450000</v>
      </c>
      <c r="G322" s="76">
        <v>1</v>
      </c>
      <c r="H322" s="68">
        <f t="shared" si="34"/>
        <v>1450000</v>
      </c>
      <c r="I322" s="21">
        <v>1450000</v>
      </c>
      <c r="J322" s="17"/>
      <c r="K322" s="17"/>
      <c r="L322" s="17"/>
      <c r="M322" s="17"/>
      <c r="N322" s="17"/>
      <c r="O322" s="17">
        <f>600000</f>
        <v>600000</v>
      </c>
      <c r="P322" s="17">
        <f>600000-600000</f>
        <v>0</v>
      </c>
      <c r="Q322" s="17">
        <v>250000</v>
      </c>
      <c r="R322" s="17"/>
      <c r="S322" s="17">
        <v>100000</v>
      </c>
      <c r="T322" s="17">
        <v>500000</v>
      </c>
      <c r="U322" s="17"/>
      <c r="V322" s="17">
        <f t="shared" si="36"/>
        <v>0</v>
      </c>
      <c r="W322" s="17">
        <f>600000</f>
        <v>600000</v>
      </c>
    </row>
    <row r="323" spans="1:23" ht="56.25">
      <c r="A323" s="134"/>
      <c r="B323" s="134"/>
      <c r="C323" s="134"/>
      <c r="D323" s="146"/>
      <c r="E323" s="20" t="s">
        <v>211</v>
      </c>
      <c r="F323" s="68">
        <f t="shared" si="38"/>
        <v>1400000</v>
      </c>
      <c r="G323" s="76">
        <v>1</v>
      </c>
      <c r="H323" s="68">
        <f t="shared" si="34"/>
        <v>1400000</v>
      </c>
      <c r="I323" s="21">
        <f>1470000-70000</f>
        <v>1400000</v>
      </c>
      <c r="J323" s="17"/>
      <c r="K323" s="17"/>
      <c r="L323" s="17"/>
      <c r="M323" s="17"/>
      <c r="N323" s="17"/>
      <c r="O323" s="17"/>
      <c r="P323" s="17">
        <v>600000</v>
      </c>
      <c r="Q323" s="17">
        <v>200000</v>
      </c>
      <c r="R323" s="17"/>
      <c r="S323" s="17">
        <v>100000</v>
      </c>
      <c r="T323" s="17">
        <v>500000</v>
      </c>
      <c r="U323" s="17"/>
      <c r="V323" s="17">
        <f t="shared" si="36"/>
        <v>0</v>
      </c>
      <c r="W323" s="17"/>
    </row>
    <row r="324" spans="1:23" ht="37.5">
      <c r="A324" s="134"/>
      <c r="B324" s="134"/>
      <c r="C324" s="134"/>
      <c r="D324" s="146"/>
      <c r="E324" s="20" t="s">
        <v>212</v>
      </c>
      <c r="F324" s="68">
        <f t="shared" si="38"/>
        <v>550000</v>
      </c>
      <c r="G324" s="76">
        <v>1</v>
      </c>
      <c r="H324" s="68">
        <f t="shared" si="34"/>
        <v>550000</v>
      </c>
      <c r="I324" s="21">
        <v>550000</v>
      </c>
      <c r="J324" s="17"/>
      <c r="K324" s="17"/>
      <c r="L324" s="17"/>
      <c r="M324" s="17"/>
      <c r="N324" s="17">
        <v>30000</v>
      </c>
      <c r="O324" s="17">
        <f>200000-30000+90000</f>
        <v>260000</v>
      </c>
      <c r="P324" s="17">
        <f>250000-90000</f>
        <v>160000</v>
      </c>
      <c r="Q324" s="17">
        <v>100000</v>
      </c>
      <c r="R324" s="17"/>
      <c r="S324" s="17"/>
      <c r="T324" s="17"/>
      <c r="U324" s="17"/>
      <c r="V324" s="17">
        <f t="shared" si="36"/>
        <v>0</v>
      </c>
      <c r="W324" s="17">
        <f>198050+75911.8</f>
        <v>273961.8</v>
      </c>
    </row>
    <row r="325" spans="1:23" ht="18" hidden="1">
      <c r="A325" s="134"/>
      <c r="B325" s="134"/>
      <c r="C325" s="134"/>
      <c r="D325" s="146"/>
      <c r="E325" s="20" t="s">
        <v>213</v>
      </c>
      <c r="F325" s="68">
        <f t="shared" si="38"/>
        <v>0</v>
      </c>
      <c r="G325" s="76">
        <v>1</v>
      </c>
      <c r="H325" s="68">
        <f t="shared" si="34"/>
        <v>0</v>
      </c>
      <c r="I325" s="21">
        <f>1470000-250000-1220000</f>
        <v>0</v>
      </c>
      <c r="J325" s="17"/>
      <c r="K325" s="17"/>
      <c r="L325" s="17"/>
      <c r="M325" s="17"/>
      <c r="N325" s="17"/>
      <c r="O325" s="17"/>
      <c r="P325" s="17">
        <f>70000-70000</f>
        <v>0</v>
      </c>
      <c r="Q325" s="17"/>
      <c r="R325" s="17"/>
      <c r="S325" s="17">
        <f>100000-100000</f>
        <v>0</v>
      </c>
      <c r="T325" s="17">
        <f>300000-250000-50000</f>
        <v>0</v>
      </c>
      <c r="U325" s="17">
        <f>1000000-1000000</f>
        <v>0</v>
      </c>
      <c r="V325" s="17">
        <f t="shared" si="36"/>
        <v>0</v>
      </c>
      <c r="W325" s="17"/>
    </row>
    <row r="326" spans="1:23" ht="37.5">
      <c r="A326" s="134"/>
      <c r="B326" s="134"/>
      <c r="C326" s="134"/>
      <c r="D326" s="146"/>
      <c r="E326" s="20" t="s">
        <v>326</v>
      </c>
      <c r="F326" s="68"/>
      <c r="G326" s="76"/>
      <c r="H326" s="68"/>
      <c r="I326" s="21">
        <v>709000</v>
      </c>
      <c r="J326" s="17"/>
      <c r="K326" s="17"/>
      <c r="L326" s="17"/>
      <c r="M326" s="17"/>
      <c r="N326" s="17"/>
      <c r="O326" s="17"/>
      <c r="P326" s="17">
        <v>35000</v>
      </c>
      <c r="Q326" s="17"/>
      <c r="R326" s="17"/>
      <c r="S326" s="17">
        <v>50000</v>
      </c>
      <c r="T326" s="17">
        <v>25000</v>
      </c>
      <c r="U326" s="17">
        <v>599000</v>
      </c>
      <c r="V326" s="17">
        <f>I326-J326-K326-L326-M326-N326-O326-P326-Q326-R326-S326-T326-U326</f>
        <v>0</v>
      </c>
      <c r="W326" s="17"/>
    </row>
    <row r="327" spans="1:23" ht="37.5">
      <c r="A327" s="134"/>
      <c r="B327" s="134"/>
      <c r="C327" s="134"/>
      <c r="D327" s="146"/>
      <c r="E327" s="20" t="s">
        <v>327</v>
      </c>
      <c r="F327" s="68"/>
      <c r="G327" s="76"/>
      <c r="H327" s="68"/>
      <c r="I327" s="21">
        <v>511000</v>
      </c>
      <c r="J327" s="17"/>
      <c r="K327" s="17"/>
      <c r="L327" s="17"/>
      <c r="M327" s="17"/>
      <c r="N327" s="17"/>
      <c r="O327" s="17"/>
      <c r="P327" s="17">
        <v>35000</v>
      </c>
      <c r="Q327" s="17"/>
      <c r="R327" s="17"/>
      <c r="S327" s="17">
        <v>50000</v>
      </c>
      <c r="T327" s="17">
        <v>25000</v>
      </c>
      <c r="U327" s="17">
        <v>401000</v>
      </c>
      <c r="V327" s="17">
        <f>I327-J327-K327-L327-M327-N327-O327-P327-Q327-R327-S327-T327-U327</f>
        <v>0</v>
      </c>
      <c r="W327" s="17"/>
    </row>
    <row r="328" spans="1:23" ht="37.5">
      <c r="A328" s="134"/>
      <c r="B328" s="134"/>
      <c r="C328" s="134"/>
      <c r="D328" s="146"/>
      <c r="E328" s="20" t="s">
        <v>214</v>
      </c>
      <c r="F328" s="68">
        <f t="shared" si="38"/>
        <v>700000</v>
      </c>
      <c r="G328" s="76">
        <v>1</v>
      </c>
      <c r="H328" s="68">
        <f t="shared" si="34"/>
        <v>700000</v>
      </c>
      <c r="I328" s="21">
        <v>700000</v>
      </c>
      <c r="J328" s="17"/>
      <c r="K328" s="17"/>
      <c r="L328" s="17"/>
      <c r="M328" s="17"/>
      <c r="N328" s="17"/>
      <c r="O328" s="17"/>
      <c r="P328" s="17"/>
      <c r="Q328" s="17">
        <v>150000</v>
      </c>
      <c r="R328" s="17"/>
      <c r="S328" s="17">
        <v>200000</v>
      </c>
      <c r="T328" s="17"/>
      <c r="U328" s="17">
        <v>350000</v>
      </c>
      <c r="V328" s="17">
        <f t="shared" si="36"/>
        <v>0</v>
      </c>
      <c r="W328" s="17"/>
    </row>
    <row r="329" spans="1:23" ht="37.5">
      <c r="A329" s="134"/>
      <c r="B329" s="134"/>
      <c r="C329" s="134"/>
      <c r="D329" s="146"/>
      <c r="E329" s="20" t="s">
        <v>215</v>
      </c>
      <c r="F329" s="68">
        <f t="shared" si="38"/>
        <v>1470000</v>
      </c>
      <c r="G329" s="76">
        <v>1</v>
      </c>
      <c r="H329" s="68">
        <f t="shared" si="34"/>
        <v>1470000</v>
      </c>
      <c r="I329" s="21">
        <v>1470000</v>
      </c>
      <c r="J329" s="17"/>
      <c r="K329" s="17"/>
      <c r="L329" s="17"/>
      <c r="M329" s="17"/>
      <c r="N329" s="17">
        <f>100000-100000</f>
        <v>0</v>
      </c>
      <c r="O329" s="17"/>
      <c r="P329" s="17">
        <v>70000</v>
      </c>
      <c r="Q329" s="17"/>
      <c r="R329" s="17"/>
      <c r="S329" s="17"/>
      <c r="T329" s="17">
        <v>300000</v>
      </c>
      <c r="U329" s="17">
        <f>1000000+100000</f>
        <v>1100000</v>
      </c>
      <c r="V329" s="17">
        <f t="shared" si="36"/>
        <v>0</v>
      </c>
      <c r="W329" s="17"/>
    </row>
    <row r="330" spans="1:23" ht="117" customHeight="1">
      <c r="A330" s="134"/>
      <c r="B330" s="134"/>
      <c r="C330" s="134"/>
      <c r="D330" s="146"/>
      <c r="E330" s="22" t="s">
        <v>537</v>
      </c>
      <c r="F330" s="68">
        <f t="shared" si="38"/>
        <v>985340</v>
      </c>
      <c r="G330" s="76">
        <v>1</v>
      </c>
      <c r="H330" s="68">
        <f t="shared" si="34"/>
        <v>985340</v>
      </c>
      <c r="I330" s="21">
        <v>985340</v>
      </c>
      <c r="J330" s="17"/>
      <c r="K330" s="17">
        <v>985340</v>
      </c>
      <c r="L330" s="17"/>
      <c r="M330" s="17"/>
      <c r="N330" s="17">
        <v>-979000</v>
      </c>
      <c r="O330" s="17"/>
      <c r="P330" s="17"/>
      <c r="Q330" s="17">
        <v>76000</v>
      </c>
      <c r="R330" s="17">
        <v>50000</v>
      </c>
      <c r="S330" s="17"/>
      <c r="T330" s="17">
        <v>758000</v>
      </c>
      <c r="U330" s="17">
        <v>95000</v>
      </c>
      <c r="V330" s="17">
        <f t="shared" si="36"/>
        <v>0</v>
      </c>
      <c r="W330" s="17"/>
    </row>
    <row r="331" spans="1:23" ht="54" hidden="1">
      <c r="A331" s="134"/>
      <c r="B331" s="134"/>
      <c r="C331" s="134"/>
      <c r="D331" s="146"/>
      <c r="E331" s="20" t="s">
        <v>1103</v>
      </c>
      <c r="F331" s="68">
        <f t="shared" si="38"/>
        <v>0</v>
      </c>
      <c r="G331" s="76">
        <v>1</v>
      </c>
      <c r="H331" s="68">
        <f t="shared" si="34"/>
        <v>0</v>
      </c>
      <c r="I331" s="21">
        <f>250000-250000</f>
        <v>0</v>
      </c>
      <c r="J331" s="17"/>
      <c r="K331" s="17"/>
      <c r="L331" s="17"/>
      <c r="M331" s="17"/>
      <c r="N331" s="17"/>
      <c r="O331" s="17"/>
      <c r="P331" s="17"/>
      <c r="Q331" s="17"/>
      <c r="R331" s="17"/>
      <c r="S331" s="17">
        <f>100000-100000</f>
        <v>0</v>
      </c>
      <c r="T331" s="17"/>
      <c r="U331" s="17">
        <f>150000-150000</f>
        <v>0</v>
      </c>
      <c r="V331" s="17">
        <f t="shared" si="36"/>
        <v>0</v>
      </c>
      <c r="W331" s="17"/>
    </row>
    <row r="332" spans="1:23" ht="56.25">
      <c r="A332" s="134"/>
      <c r="B332" s="134"/>
      <c r="C332" s="134"/>
      <c r="D332" s="146"/>
      <c r="E332" s="22" t="s">
        <v>631</v>
      </c>
      <c r="F332" s="101">
        <f t="shared" si="38"/>
        <v>440000</v>
      </c>
      <c r="G332" s="76">
        <v>1</v>
      </c>
      <c r="H332" s="101">
        <f t="shared" si="34"/>
        <v>440000</v>
      </c>
      <c r="I332" s="21">
        <f>1470000-1030000</f>
        <v>440000</v>
      </c>
      <c r="J332" s="17"/>
      <c r="K332" s="17"/>
      <c r="L332" s="17"/>
      <c r="M332" s="17"/>
      <c r="N332" s="17"/>
      <c r="O332" s="17"/>
      <c r="P332" s="17">
        <v>70000</v>
      </c>
      <c r="Q332" s="17"/>
      <c r="R332" s="17"/>
      <c r="S332" s="17">
        <v>100000</v>
      </c>
      <c r="T332" s="17">
        <f>300000-30000</f>
        <v>270000</v>
      </c>
      <c r="U332" s="17">
        <f>1000000-1000000</f>
        <v>0</v>
      </c>
      <c r="V332" s="17">
        <f t="shared" si="36"/>
        <v>0</v>
      </c>
      <c r="W332" s="17"/>
    </row>
    <row r="333" spans="1:23" ht="37.5">
      <c r="A333" s="134"/>
      <c r="B333" s="134"/>
      <c r="C333" s="134"/>
      <c r="D333" s="146"/>
      <c r="E333" s="20" t="s">
        <v>201</v>
      </c>
      <c r="F333" s="68">
        <f t="shared" si="38"/>
        <v>1050000</v>
      </c>
      <c r="G333" s="76">
        <v>1</v>
      </c>
      <c r="H333" s="68">
        <f t="shared" si="34"/>
        <v>1050000</v>
      </c>
      <c r="I333" s="21">
        <v>1050000</v>
      </c>
      <c r="J333" s="17"/>
      <c r="K333" s="17"/>
      <c r="L333" s="17"/>
      <c r="M333" s="17"/>
      <c r="N333" s="17">
        <v>565000</v>
      </c>
      <c r="O333" s="17"/>
      <c r="P333" s="17"/>
      <c r="Q333" s="17"/>
      <c r="R333" s="17"/>
      <c r="S333" s="17">
        <f>350000-350000</f>
        <v>0</v>
      </c>
      <c r="T333" s="17">
        <f>250000-215000</f>
        <v>35000</v>
      </c>
      <c r="U333" s="17">
        <v>450000</v>
      </c>
      <c r="V333" s="17">
        <f t="shared" si="36"/>
        <v>0</v>
      </c>
      <c r="W333" s="17">
        <f>564926</f>
        <v>564926</v>
      </c>
    </row>
    <row r="334" spans="1:23" ht="37.5">
      <c r="A334" s="134"/>
      <c r="B334" s="134"/>
      <c r="C334" s="134"/>
      <c r="D334" s="146"/>
      <c r="E334" s="20" t="s">
        <v>216</v>
      </c>
      <c r="F334" s="68">
        <f t="shared" si="38"/>
        <v>100000</v>
      </c>
      <c r="G334" s="76">
        <v>1</v>
      </c>
      <c r="H334" s="68">
        <f t="shared" si="34"/>
        <v>100000</v>
      </c>
      <c r="I334" s="21">
        <v>100000</v>
      </c>
      <c r="J334" s="17"/>
      <c r="K334" s="17"/>
      <c r="L334" s="17"/>
      <c r="M334" s="17"/>
      <c r="N334" s="17"/>
      <c r="O334" s="17"/>
      <c r="P334" s="17">
        <v>50000</v>
      </c>
      <c r="Q334" s="17"/>
      <c r="R334" s="17"/>
      <c r="S334" s="17">
        <v>50000</v>
      </c>
      <c r="T334" s="17"/>
      <c r="U334" s="17"/>
      <c r="V334" s="17">
        <f t="shared" si="36"/>
        <v>0</v>
      </c>
      <c r="W334" s="17"/>
    </row>
    <row r="335" spans="1:23" ht="37.5">
      <c r="A335" s="134"/>
      <c r="B335" s="134"/>
      <c r="C335" s="134"/>
      <c r="D335" s="146"/>
      <c r="E335" s="20" t="s">
        <v>228</v>
      </c>
      <c r="F335" s="68">
        <f t="shared" si="38"/>
        <v>600000</v>
      </c>
      <c r="G335" s="76">
        <v>1</v>
      </c>
      <c r="H335" s="68">
        <f t="shared" si="34"/>
        <v>600000</v>
      </c>
      <c r="I335" s="21">
        <v>600000</v>
      </c>
      <c r="J335" s="17"/>
      <c r="K335" s="17"/>
      <c r="L335" s="17"/>
      <c r="M335" s="17"/>
      <c r="N335" s="17">
        <v>30000</v>
      </c>
      <c r="O335" s="17"/>
      <c r="P335" s="17"/>
      <c r="Q335" s="17">
        <f>100000-30000</f>
        <v>70000</v>
      </c>
      <c r="R335" s="17"/>
      <c r="S335" s="17">
        <v>100000</v>
      </c>
      <c r="T335" s="17">
        <v>150000</v>
      </c>
      <c r="U335" s="17">
        <v>250000</v>
      </c>
      <c r="V335" s="17">
        <f t="shared" si="36"/>
        <v>0</v>
      </c>
      <c r="W335" s="17"/>
    </row>
    <row r="336" spans="1:23" ht="37.5">
      <c r="A336" s="134"/>
      <c r="B336" s="134"/>
      <c r="C336" s="134"/>
      <c r="D336" s="146"/>
      <c r="E336" s="20" t="s">
        <v>229</v>
      </c>
      <c r="F336" s="68">
        <f t="shared" si="38"/>
        <v>1480000</v>
      </c>
      <c r="G336" s="76">
        <v>1</v>
      </c>
      <c r="H336" s="68">
        <f t="shared" si="34"/>
        <v>1480000</v>
      </c>
      <c r="I336" s="21">
        <v>1480000</v>
      </c>
      <c r="J336" s="17"/>
      <c r="K336" s="17"/>
      <c r="L336" s="17"/>
      <c r="M336" s="17"/>
      <c r="N336" s="17">
        <v>750000</v>
      </c>
      <c r="O336" s="17">
        <f>-41000</f>
        <v>-41000</v>
      </c>
      <c r="P336" s="17">
        <v>80000</v>
      </c>
      <c r="Q336" s="17"/>
      <c r="R336" s="17"/>
      <c r="S336" s="17">
        <f>100000-100000</f>
        <v>0</v>
      </c>
      <c r="T336" s="17">
        <f>300000-300000+41000</f>
        <v>41000</v>
      </c>
      <c r="U336" s="17">
        <f>1000000-350000</f>
        <v>650000</v>
      </c>
      <c r="V336" s="17">
        <f t="shared" si="36"/>
        <v>0</v>
      </c>
      <c r="W336" s="17">
        <f>708267</f>
        <v>708267</v>
      </c>
    </row>
    <row r="337" spans="1:23" ht="37.5">
      <c r="A337" s="134"/>
      <c r="B337" s="134"/>
      <c r="C337" s="134"/>
      <c r="D337" s="146"/>
      <c r="E337" s="20" t="s">
        <v>230</v>
      </c>
      <c r="F337" s="68">
        <f t="shared" si="38"/>
        <v>1100000</v>
      </c>
      <c r="G337" s="76">
        <v>1</v>
      </c>
      <c r="H337" s="68">
        <f t="shared" si="34"/>
        <v>1100000</v>
      </c>
      <c r="I337" s="21">
        <v>1100000</v>
      </c>
      <c r="J337" s="17"/>
      <c r="K337" s="17"/>
      <c r="L337" s="17"/>
      <c r="M337" s="17"/>
      <c r="N337" s="17"/>
      <c r="O337" s="17"/>
      <c r="P337" s="17"/>
      <c r="Q337" s="17">
        <v>300000</v>
      </c>
      <c r="R337" s="17"/>
      <c r="S337" s="17">
        <v>100000</v>
      </c>
      <c r="T337" s="17">
        <v>300000</v>
      </c>
      <c r="U337" s="17">
        <v>400000</v>
      </c>
      <c r="V337" s="17">
        <f t="shared" si="36"/>
        <v>0</v>
      </c>
      <c r="W337" s="17"/>
    </row>
    <row r="338" spans="1:23" ht="56.25">
      <c r="A338" s="134"/>
      <c r="B338" s="134"/>
      <c r="C338" s="134"/>
      <c r="D338" s="146"/>
      <c r="E338" s="20" t="s">
        <v>149</v>
      </c>
      <c r="F338" s="68">
        <f t="shared" si="38"/>
        <v>1470000</v>
      </c>
      <c r="G338" s="76">
        <v>1</v>
      </c>
      <c r="H338" s="68">
        <f aca="true" t="shared" si="39" ref="H338:H366">I338</f>
        <v>1470000</v>
      </c>
      <c r="I338" s="21">
        <v>1470000</v>
      </c>
      <c r="J338" s="17"/>
      <c r="K338" s="17"/>
      <c r="L338" s="17"/>
      <c r="M338" s="17"/>
      <c r="N338" s="17">
        <v>750000</v>
      </c>
      <c r="O338" s="17"/>
      <c r="P338" s="17">
        <f>100000-100000</f>
        <v>0</v>
      </c>
      <c r="Q338" s="17"/>
      <c r="R338" s="17"/>
      <c r="S338" s="17">
        <v>100000</v>
      </c>
      <c r="T338" s="17">
        <f>300000-13000</f>
        <v>287000</v>
      </c>
      <c r="U338" s="17">
        <f>970000-637000</f>
        <v>333000</v>
      </c>
      <c r="V338" s="17">
        <f t="shared" si="36"/>
        <v>0</v>
      </c>
      <c r="W338" s="17">
        <f>703162.8+29919.9</f>
        <v>733082.7000000001</v>
      </c>
    </row>
    <row r="339" spans="1:23" ht="93.75">
      <c r="A339" s="134"/>
      <c r="B339" s="134"/>
      <c r="C339" s="134"/>
      <c r="D339" s="146"/>
      <c r="E339" s="20" t="s">
        <v>833</v>
      </c>
      <c r="F339" s="68">
        <f t="shared" si="38"/>
        <v>315000</v>
      </c>
      <c r="G339" s="76">
        <v>1</v>
      </c>
      <c r="H339" s="68">
        <f t="shared" si="39"/>
        <v>315000</v>
      </c>
      <c r="I339" s="21">
        <v>315000</v>
      </c>
      <c r="J339" s="17"/>
      <c r="K339" s="17">
        <v>100000</v>
      </c>
      <c r="L339" s="124"/>
      <c r="M339" s="17">
        <v>215000</v>
      </c>
      <c r="N339" s="17">
        <v>-315000</v>
      </c>
      <c r="O339" s="17"/>
      <c r="P339" s="17">
        <v>70000</v>
      </c>
      <c r="Q339" s="17">
        <v>245000</v>
      </c>
      <c r="R339" s="17"/>
      <c r="S339" s="17"/>
      <c r="T339" s="17"/>
      <c r="U339" s="17"/>
      <c r="V339" s="17">
        <f t="shared" si="36"/>
        <v>0</v>
      </c>
      <c r="W339" s="17"/>
    </row>
    <row r="340" spans="1:23" ht="37.5">
      <c r="A340" s="134"/>
      <c r="B340" s="134"/>
      <c r="C340" s="134"/>
      <c r="D340" s="146"/>
      <c r="E340" s="20" t="s">
        <v>414</v>
      </c>
      <c r="F340" s="68">
        <f t="shared" si="38"/>
        <v>400000</v>
      </c>
      <c r="G340" s="76">
        <v>1</v>
      </c>
      <c r="H340" s="68">
        <f t="shared" si="39"/>
        <v>400000</v>
      </c>
      <c r="I340" s="21">
        <v>400000</v>
      </c>
      <c r="J340" s="17"/>
      <c r="K340" s="17"/>
      <c r="L340" s="17"/>
      <c r="M340" s="17"/>
      <c r="N340" s="17"/>
      <c r="O340" s="17"/>
      <c r="P340" s="17"/>
      <c r="Q340" s="17">
        <v>100000</v>
      </c>
      <c r="R340" s="17"/>
      <c r="S340" s="17">
        <v>300000</v>
      </c>
      <c r="T340" s="17"/>
      <c r="U340" s="17"/>
      <c r="V340" s="17">
        <f t="shared" si="36"/>
        <v>0</v>
      </c>
      <c r="W340" s="17"/>
    </row>
    <row r="341" spans="1:23" ht="79.5" customHeight="1">
      <c r="A341" s="134"/>
      <c r="B341" s="134"/>
      <c r="C341" s="134"/>
      <c r="D341" s="146"/>
      <c r="E341" s="20" t="s">
        <v>572</v>
      </c>
      <c r="F341" s="68">
        <f t="shared" si="38"/>
        <v>5084492.859999999</v>
      </c>
      <c r="G341" s="76">
        <v>1</v>
      </c>
      <c r="H341" s="68">
        <f t="shared" si="39"/>
        <v>5084492.859999999</v>
      </c>
      <c r="I341" s="21">
        <f>3716000-993000+2361492.86</f>
        <v>5084492.859999999</v>
      </c>
      <c r="J341" s="17">
        <v>50000</v>
      </c>
      <c r="K341" s="17">
        <f>1808000-778000</f>
        <v>1030000</v>
      </c>
      <c r="L341" s="17"/>
      <c r="M341" s="17">
        <f>946000-215000+2361492.86</f>
        <v>3092492.86</v>
      </c>
      <c r="N341" s="17">
        <v>-4167000</v>
      </c>
      <c r="O341" s="17">
        <f>912000+190000-385000</f>
        <v>717000</v>
      </c>
      <c r="P341" s="17">
        <f>1665000+385000</f>
        <v>2050000</v>
      </c>
      <c r="Q341" s="17">
        <v>1514000</v>
      </c>
      <c r="R341" s="17">
        <v>798000</v>
      </c>
      <c r="S341" s="17"/>
      <c r="T341" s="17"/>
      <c r="U341" s="17"/>
      <c r="V341" s="17">
        <f t="shared" si="36"/>
        <v>0</v>
      </c>
      <c r="W341" s="17">
        <f>721401</f>
        <v>721401</v>
      </c>
    </row>
    <row r="342" spans="1:23" ht="117.75" customHeight="1">
      <c r="A342" s="134"/>
      <c r="B342" s="134"/>
      <c r="C342" s="134"/>
      <c r="D342" s="146"/>
      <c r="E342" s="22" t="s">
        <v>538</v>
      </c>
      <c r="F342" s="68">
        <f t="shared" si="38"/>
        <v>825317</v>
      </c>
      <c r="G342" s="76">
        <v>1</v>
      </c>
      <c r="H342" s="68">
        <f t="shared" si="39"/>
        <v>825317</v>
      </c>
      <c r="I342" s="21">
        <v>825317</v>
      </c>
      <c r="J342" s="17"/>
      <c r="K342" s="17">
        <v>825317</v>
      </c>
      <c r="L342" s="17"/>
      <c r="M342" s="17"/>
      <c r="N342" s="17">
        <v>-820000</v>
      </c>
      <c r="O342" s="17">
        <f>280000-285000</f>
        <v>-5000</v>
      </c>
      <c r="P342" s="17">
        <v>489000</v>
      </c>
      <c r="Q342" s="17">
        <v>51000</v>
      </c>
      <c r="R342" s="17"/>
      <c r="S342" s="17">
        <f>285000</f>
        <v>285000</v>
      </c>
      <c r="T342" s="17"/>
      <c r="U342" s="17"/>
      <c r="V342" s="17">
        <f t="shared" si="36"/>
        <v>0</v>
      </c>
      <c r="W342" s="17"/>
    </row>
    <row r="343" spans="1:23" ht="37.5">
      <c r="A343" s="134"/>
      <c r="B343" s="134"/>
      <c r="C343" s="134"/>
      <c r="D343" s="146"/>
      <c r="E343" s="20" t="s">
        <v>1034</v>
      </c>
      <c r="F343" s="68">
        <f t="shared" si="38"/>
        <v>1250000</v>
      </c>
      <c r="G343" s="76">
        <v>1</v>
      </c>
      <c r="H343" s="68">
        <f t="shared" si="39"/>
        <v>1250000</v>
      </c>
      <c r="I343" s="21">
        <f>2950000-300000-1400000</f>
        <v>1250000</v>
      </c>
      <c r="J343" s="17"/>
      <c r="K343" s="17"/>
      <c r="L343" s="17"/>
      <c r="M343" s="17"/>
      <c r="N343" s="17">
        <f>100000-79000</f>
        <v>21000</v>
      </c>
      <c r="O343" s="17"/>
      <c r="P343" s="17">
        <f>100000-100000</f>
        <v>0</v>
      </c>
      <c r="Q343" s="17"/>
      <c r="R343" s="17">
        <f>150000-150000</f>
        <v>0</v>
      </c>
      <c r="S343" s="17">
        <f>200000+49000-249000</f>
        <v>0</v>
      </c>
      <c r="T343" s="17">
        <f>1200000+30000-901000</f>
        <v>329000</v>
      </c>
      <c r="U343" s="17">
        <v>900000</v>
      </c>
      <c r="V343" s="17">
        <f t="shared" si="36"/>
        <v>0</v>
      </c>
      <c r="W343" s="17">
        <v>20416.42</v>
      </c>
    </row>
    <row r="344" spans="1:23" ht="37.5">
      <c r="A344" s="134"/>
      <c r="B344" s="134"/>
      <c r="C344" s="134"/>
      <c r="D344" s="146"/>
      <c r="E344" s="20" t="s">
        <v>652</v>
      </c>
      <c r="F344" s="68">
        <f t="shared" si="38"/>
        <v>1470000</v>
      </c>
      <c r="G344" s="76">
        <v>1</v>
      </c>
      <c r="H344" s="68">
        <f t="shared" si="39"/>
        <v>1470000</v>
      </c>
      <c r="I344" s="21">
        <v>1470000</v>
      </c>
      <c r="J344" s="17"/>
      <c r="K344" s="17"/>
      <c r="L344" s="17"/>
      <c r="M344" s="17"/>
      <c r="N344" s="17">
        <v>600000</v>
      </c>
      <c r="O344" s="17"/>
      <c r="P344" s="17">
        <v>70000</v>
      </c>
      <c r="Q344" s="17"/>
      <c r="R344" s="17"/>
      <c r="S344" s="17">
        <v>200000</v>
      </c>
      <c r="T344" s="17">
        <f>1100000-600000</f>
        <v>500000</v>
      </c>
      <c r="U344" s="17">
        <v>100000</v>
      </c>
      <c r="V344" s="17">
        <f t="shared" si="36"/>
        <v>0</v>
      </c>
      <c r="W344" s="17">
        <f>600000</f>
        <v>600000</v>
      </c>
    </row>
    <row r="345" spans="1:23" ht="56.25">
      <c r="A345" s="134"/>
      <c r="B345" s="134"/>
      <c r="C345" s="134"/>
      <c r="D345" s="146"/>
      <c r="E345" s="20" t="s">
        <v>1102</v>
      </c>
      <c r="F345" s="68">
        <f t="shared" si="38"/>
        <v>1366900</v>
      </c>
      <c r="G345" s="76">
        <v>1</v>
      </c>
      <c r="H345" s="68">
        <f t="shared" si="39"/>
        <v>1366900</v>
      </c>
      <c r="I345" s="21">
        <f>1698000-331100</f>
        <v>1366900</v>
      </c>
      <c r="J345" s="17"/>
      <c r="K345" s="17"/>
      <c r="L345" s="17"/>
      <c r="M345" s="17">
        <f>498000-485000</f>
        <v>13000</v>
      </c>
      <c r="N345" s="17">
        <f>600000+488400-300000</f>
        <v>788400</v>
      </c>
      <c r="O345" s="17">
        <f>-331100-60000</f>
        <v>-391100</v>
      </c>
      <c r="P345" s="17">
        <v>130000</v>
      </c>
      <c r="Q345" s="17">
        <v>20000</v>
      </c>
      <c r="R345" s="17"/>
      <c r="S345" s="17">
        <f>300000+385000-488400+60000</f>
        <v>256600</v>
      </c>
      <c r="T345" s="17">
        <f>200000+100000+150000</f>
        <v>450000</v>
      </c>
      <c r="U345" s="17">
        <v>100000</v>
      </c>
      <c r="V345" s="17">
        <f t="shared" si="36"/>
        <v>0</v>
      </c>
      <c r="W345" s="17">
        <f>405502.24</f>
        <v>405502.24</v>
      </c>
    </row>
    <row r="346" spans="1:23" ht="37.5">
      <c r="A346" s="134"/>
      <c r="B346" s="134"/>
      <c r="C346" s="134"/>
      <c r="D346" s="146"/>
      <c r="E346" s="20" t="s">
        <v>1035</v>
      </c>
      <c r="F346" s="68">
        <f t="shared" si="38"/>
        <v>872000</v>
      </c>
      <c r="G346" s="76">
        <v>1</v>
      </c>
      <c r="H346" s="68">
        <f t="shared" si="39"/>
        <v>872000</v>
      </c>
      <c r="I346" s="21">
        <f>1470000-198000-400000</f>
        <v>872000</v>
      </c>
      <c r="J346" s="17"/>
      <c r="K346" s="17"/>
      <c r="L346" s="17"/>
      <c r="M346" s="17"/>
      <c r="N346" s="17">
        <v>500000</v>
      </c>
      <c r="O346" s="17">
        <f>-46000</f>
        <v>-46000</v>
      </c>
      <c r="P346" s="17">
        <v>70000</v>
      </c>
      <c r="Q346" s="17"/>
      <c r="R346" s="17"/>
      <c r="S346" s="17">
        <f>400000-198000+46000</f>
        <v>248000</v>
      </c>
      <c r="T346" s="17">
        <f>300000+128300-400000-28300</f>
        <v>0</v>
      </c>
      <c r="U346" s="17">
        <f>571700-471700</f>
        <v>100000</v>
      </c>
      <c r="V346" s="17">
        <f t="shared" si="36"/>
        <v>0</v>
      </c>
      <c r="W346" s="17">
        <f>453966.2</f>
        <v>453966.2</v>
      </c>
    </row>
    <row r="347" spans="1:23" ht="75">
      <c r="A347" s="134"/>
      <c r="B347" s="134"/>
      <c r="C347" s="134"/>
      <c r="D347" s="146"/>
      <c r="E347" s="20" t="s">
        <v>202</v>
      </c>
      <c r="F347" s="68"/>
      <c r="G347" s="76"/>
      <c r="H347" s="68"/>
      <c r="I347" s="21">
        <v>1470000</v>
      </c>
      <c r="J347" s="17"/>
      <c r="K347" s="17"/>
      <c r="L347" s="17"/>
      <c r="M347" s="17"/>
      <c r="N347" s="17">
        <v>780000</v>
      </c>
      <c r="O347" s="17">
        <f>-185000</f>
        <v>-185000</v>
      </c>
      <c r="P347" s="17"/>
      <c r="Q347" s="17">
        <v>320000</v>
      </c>
      <c r="R347" s="17"/>
      <c r="S347" s="17">
        <f>900000-630000+185000</f>
        <v>455000</v>
      </c>
      <c r="T347" s="17">
        <f>150000-150000</f>
        <v>0</v>
      </c>
      <c r="U347" s="17">
        <v>100000</v>
      </c>
      <c r="V347" s="17">
        <f>I347-J347-K347-L347-M347-N347-O347-P347-Q347-R347-S347-T347-U347</f>
        <v>0</v>
      </c>
      <c r="W347" s="17">
        <f>594610.5</f>
        <v>594610.5</v>
      </c>
    </row>
    <row r="348" spans="1:23" ht="56.25">
      <c r="A348" s="134"/>
      <c r="B348" s="134"/>
      <c r="C348" s="134"/>
      <c r="D348" s="146"/>
      <c r="E348" s="20" t="s">
        <v>953</v>
      </c>
      <c r="F348" s="68">
        <f t="shared" si="38"/>
        <v>1470000</v>
      </c>
      <c r="G348" s="76">
        <v>1</v>
      </c>
      <c r="H348" s="68">
        <f t="shared" si="39"/>
        <v>1470000</v>
      </c>
      <c r="I348" s="21">
        <v>1470000</v>
      </c>
      <c r="J348" s="17"/>
      <c r="K348" s="17"/>
      <c r="L348" s="17">
        <f>319685-319685</f>
        <v>0</v>
      </c>
      <c r="M348" s="17"/>
      <c r="N348" s="17">
        <v>239000</v>
      </c>
      <c r="O348" s="17"/>
      <c r="P348" s="17">
        <f>690000+130000-239000</f>
        <v>581000</v>
      </c>
      <c r="Q348" s="17"/>
      <c r="R348" s="17"/>
      <c r="S348" s="17">
        <v>170000</v>
      </c>
      <c r="T348" s="17"/>
      <c r="U348" s="17">
        <f>290315+189685</f>
        <v>480000</v>
      </c>
      <c r="V348" s="17">
        <f t="shared" si="36"/>
        <v>0</v>
      </c>
      <c r="W348" s="17">
        <f>239000</f>
        <v>239000</v>
      </c>
    </row>
    <row r="349" spans="1:23" ht="56.25">
      <c r="A349" s="134"/>
      <c r="B349" s="134"/>
      <c r="C349" s="134"/>
      <c r="D349" s="146"/>
      <c r="E349" s="20" t="s">
        <v>168</v>
      </c>
      <c r="F349" s="68">
        <f t="shared" si="38"/>
        <v>1400000</v>
      </c>
      <c r="G349" s="76">
        <v>1</v>
      </c>
      <c r="H349" s="68">
        <f t="shared" si="39"/>
        <v>1400000</v>
      </c>
      <c r="I349" s="21">
        <f>1470000-70000</f>
        <v>1400000</v>
      </c>
      <c r="J349" s="17"/>
      <c r="K349" s="17"/>
      <c r="L349" s="17">
        <f>590000-590000</f>
        <v>0</v>
      </c>
      <c r="M349" s="17"/>
      <c r="N349" s="17"/>
      <c r="O349" s="17"/>
      <c r="P349" s="17">
        <v>10000</v>
      </c>
      <c r="Q349" s="17">
        <f>200000+435000</f>
        <v>635000</v>
      </c>
      <c r="R349" s="17"/>
      <c r="S349" s="17">
        <v>400000</v>
      </c>
      <c r="T349" s="17">
        <v>100000</v>
      </c>
      <c r="U349" s="17">
        <f>100000+155000</f>
        <v>255000</v>
      </c>
      <c r="V349" s="17">
        <f t="shared" si="36"/>
        <v>0</v>
      </c>
      <c r="W349" s="17"/>
    </row>
    <row r="350" spans="1:23" ht="37.5">
      <c r="A350" s="134"/>
      <c r="B350" s="134"/>
      <c r="C350" s="134"/>
      <c r="D350" s="146"/>
      <c r="E350" s="20" t="s">
        <v>409</v>
      </c>
      <c r="F350" s="68">
        <f t="shared" si="38"/>
        <v>1470000</v>
      </c>
      <c r="G350" s="76">
        <v>1</v>
      </c>
      <c r="H350" s="68">
        <f t="shared" si="39"/>
        <v>1470000</v>
      </c>
      <c r="I350" s="21">
        <v>1470000</v>
      </c>
      <c r="J350" s="17"/>
      <c r="K350" s="17"/>
      <c r="L350" s="17">
        <f>600000-600000</f>
        <v>0</v>
      </c>
      <c r="M350" s="17"/>
      <c r="N350" s="17">
        <v>600000</v>
      </c>
      <c r="O350" s="17"/>
      <c r="P350" s="17">
        <v>70000</v>
      </c>
      <c r="Q350" s="17"/>
      <c r="R350" s="17"/>
      <c r="S350" s="17">
        <f>700000-600000</f>
        <v>100000</v>
      </c>
      <c r="T350" s="17">
        <v>550000</v>
      </c>
      <c r="U350" s="17">
        <f>100000+50000</f>
        <v>150000</v>
      </c>
      <c r="V350" s="17">
        <f t="shared" si="36"/>
        <v>0</v>
      </c>
      <c r="W350" s="17">
        <v>600000</v>
      </c>
    </row>
    <row r="351" spans="1:23" ht="120" customHeight="1">
      <c r="A351" s="134"/>
      <c r="B351" s="134"/>
      <c r="C351" s="134"/>
      <c r="D351" s="146"/>
      <c r="E351" s="22" t="s">
        <v>539</v>
      </c>
      <c r="F351" s="68">
        <f t="shared" si="38"/>
        <v>236000</v>
      </c>
      <c r="G351" s="76">
        <v>1</v>
      </c>
      <c r="H351" s="68">
        <f t="shared" si="39"/>
        <v>236000</v>
      </c>
      <c r="I351" s="21">
        <v>236000</v>
      </c>
      <c r="J351" s="17"/>
      <c r="K351" s="17">
        <v>236000</v>
      </c>
      <c r="L351" s="17"/>
      <c r="M351" s="17"/>
      <c r="N351" s="17">
        <v>-236000</v>
      </c>
      <c r="O351" s="17"/>
      <c r="P351" s="17"/>
      <c r="Q351" s="17"/>
      <c r="R351" s="17"/>
      <c r="S351" s="17">
        <f>31000</f>
        <v>31000</v>
      </c>
      <c r="T351" s="17">
        <f>205000</f>
        <v>205000</v>
      </c>
      <c r="U351" s="17"/>
      <c r="V351" s="17">
        <f t="shared" si="36"/>
        <v>0</v>
      </c>
      <c r="W351" s="17"/>
    </row>
    <row r="352" spans="1:23" ht="56.25">
      <c r="A352" s="134"/>
      <c r="B352" s="134"/>
      <c r="C352" s="134"/>
      <c r="D352" s="146"/>
      <c r="E352" s="20" t="s">
        <v>410</v>
      </c>
      <c r="F352" s="68">
        <f t="shared" si="38"/>
        <v>1267548</v>
      </c>
      <c r="G352" s="76">
        <v>1</v>
      </c>
      <c r="H352" s="68">
        <f t="shared" si="39"/>
        <v>1267548</v>
      </c>
      <c r="I352" s="21">
        <f>1600000-162452-170000</f>
        <v>1267548</v>
      </c>
      <c r="J352" s="17"/>
      <c r="K352" s="17"/>
      <c r="L352" s="17"/>
      <c r="M352" s="17">
        <f>1200000-230600</f>
        <v>969400</v>
      </c>
      <c r="N352" s="17">
        <f>-435000-100000</f>
        <v>-535000</v>
      </c>
      <c r="O352" s="17">
        <v>-6000</v>
      </c>
      <c r="P352" s="17">
        <f>130600-100000</f>
        <v>30600</v>
      </c>
      <c r="Q352" s="17">
        <f>195000+100000-56452-170000</f>
        <v>68548</v>
      </c>
      <c r="R352" s="17">
        <f>20000</f>
        <v>20000</v>
      </c>
      <c r="S352" s="17">
        <f>100000+35000</f>
        <v>135000</v>
      </c>
      <c r="T352" s="17">
        <v>300000</v>
      </c>
      <c r="U352" s="17">
        <f>100000+185000</f>
        <v>285000</v>
      </c>
      <c r="V352" s="17">
        <f t="shared" si="36"/>
        <v>0</v>
      </c>
      <c r="W352" s="17">
        <f>334388.74</f>
        <v>334388.74</v>
      </c>
    </row>
    <row r="353" spans="1:23" ht="37.5">
      <c r="A353" s="134"/>
      <c r="B353" s="134"/>
      <c r="C353" s="134"/>
      <c r="D353" s="146"/>
      <c r="E353" s="20" t="s">
        <v>411</v>
      </c>
      <c r="F353" s="68">
        <f t="shared" si="38"/>
        <v>1313000</v>
      </c>
      <c r="G353" s="76">
        <v>1</v>
      </c>
      <c r="H353" s="68">
        <f t="shared" si="39"/>
        <v>1313000</v>
      </c>
      <c r="I353" s="21">
        <v>1313000</v>
      </c>
      <c r="J353" s="17"/>
      <c r="K353" s="17"/>
      <c r="L353" s="17"/>
      <c r="M353" s="17"/>
      <c r="N353" s="17"/>
      <c r="O353" s="17">
        <f>100000-100000</f>
        <v>0</v>
      </c>
      <c r="P353" s="17"/>
      <c r="Q353" s="17">
        <v>213000</v>
      </c>
      <c r="R353" s="17"/>
      <c r="S353" s="17">
        <f>700000+24000</f>
        <v>724000</v>
      </c>
      <c r="T353" s="17">
        <f>300000+59000</f>
        <v>359000</v>
      </c>
      <c r="U353" s="17">
        <v>17000</v>
      </c>
      <c r="V353" s="17">
        <f t="shared" si="36"/>
        <v>0</v>
      </c>
      <c r="W353" s="17"/>
    </row>
    <row r="354" spans="1:23" ht="75">
      <c r="A354" s="134"/>
      <c r="B354" s="134"/>
      <c r="C354" s="134"/>
      <c r="D354" s="146"/>
      <c r="E354" s="20" t="s">
        <v>118</v>
      </c>
      <c r="F354" s="68">
        <f t="shared" si="38"/>
        <v>1470000</v>
      </c>
      <c r="G354" s="76">
        <v>1</v>
      </c>
      <c r="H354" s="68">
        <f t="shared" si="39"/>
        <v>1470000</v>
      </c>
      <c r="I354" s="21">
        <v>1470000</v>
      </c>
      <c r="J354" s="17"/>
      <c r="K354" s="17"/>
      <c r="L354" s="17"/>
      <c r="M354" s="17"/>
      <c r="N354" s="17">
        <f>100000+780000</f>
        <v>880000</v>
      </c>
      <c r="O354" s="17">
        <f>-134000</f>
        <v>-134000</v>
      </c>
      <c r="P354" s="17">
        <f>70000+26000</f>
        <v>96000</v>
      </c>
      <c r="Q354" s="17"/>
      <c r="R354" s="17"/>
      <c r="S354" s="17">
        <f>400000-71000</f>
        <v>329000</v>
      </c>
      <c r="T354" s="17">
        <f>300000-300000</f>
        <v>0</v>
      </c>
      <c r="U354" s="17">
        <f>600000-409000+108000</f>
        <v>299000</v>
      </c>
      <c r="V354" s="17">
        <f t="shared" si="36"/>
        <v>0</v>
      </c>
      <c r="W354" s="17">
        <f>49793.68+695485.5</f>
        <v>745279.18</v>
      </c>
    </row>
    <row r="355" spans="1:23" ht="56.25">
      <c r="A355" s="134"/>
      <c r="B355" s="134"/>
      <c r="C355" s="134"/>
      <c r="D355" s="146"/>
      <c r="E355" s="20" t="s">
        <v>145</v>
      </c>
      <c r="F355" s="68">
        <f t="shared" si="38"/>
        <v>1800000</v>
      </c>
      <c r="G355" s="76">
        <v>1</v>
      </c>
      <c r="H355" s="68">
        <f t="shared" si="39"/>
        <v>1800000</v>
      </c>
      <c r="I355" s="21">
        <v>1800000</v>
      </c>
      <c r="J355" s="17"/>
      <c r="K355" s="17"/>
      <c r="L355" s="17"/>
      <c r="M355" s="17">
        <v>700000</v>
      </c>
      <c r="N355" s="17">
        <f>600000-730000-30516.26</f>
        <v>-160516.26</v>
      </c>
      <c r="O355" s="17">
        <f>4360-51000</f>
        <v>-46640</v>
      </c>
      <c r="P355" s="17">
        <f>4360+51000</f>
        <v>55360</v>
      </c>
      <c r="Q355" s="17">
        <f>195000+4360</f>
        <v>199360</v>
      </c>
      <c r="R355" s="17">
        <v>4360</v>
      </c>
      <c r="S355" s="17">
        <f>100000+400000+4360</f>
        <v>504360</v>
      </c>
      <c r="T355" s="17">
        <f>400000+55000+4360</f>
        <v>459360</v>
      </c>
      <c r="U355" s="17">
        <f>80000+4356.26</f>
        <v>84356.26</v>
      </c>
      <c r="V355" s="17">
        <f t="shared" si="36"/>
        <v>0</v>
      </c>
      <c r="W355" s="17">
        <f>492417.53</f>
        <v>492417.53</v>
      </c>
    </row>
    <row r="356" spans="1:23" ht="37.5">
      <c r="A356" s="134"/>
      <c r="B356" s="134"/>
      <c r="C356" s="134"/>
      <c r="D356" s="146"/>
      <c r="E356" s="20" t="s">
        <v>32</v>
      </c>
      <c r="F356" s="68">
        <f t="shared" si="38"/>
        <v>825000</v>
      </c>
      <c r="G356" s="76">
        <v>1</v>
      </c>
      <c r="H356" s="68">
        <f t="shared" si="39"/>
        <v>825000</v>
      </c>
      <c r="I356" s="21">
        <v>825000</v>
      </c>
      <c r="J356" s="17"/>
      <c r="K356" s="17"/>
      <c r="L356" s="17"/>
      <c r="M356" s="17"/>
      <c r="N356" s="17">
        <f>620000</f>
        <v>620000</v>
      </c>
      <c r="O356" s="17">
        <f>-201000</f>
        <v>-201000</v>
      </c>
      <c r="P356" s="17">
        <v>125000</v>
      </c>
      <c r="Q356" s="17"/>
      <c r="R356" s="17"/>
      <c r="S356" s="17">
        <f>600000-520000</f>
        <v>80000</v>
      </c>
      <c r="T356" s="17">
        <f>100000-100000+201000</f>
        <v>201000</v>
      </c>
      <c r="U356" s="17"/>
      <c r="V356" s="17">
        <f t="shared" si="36"/>
        <v>0</v>
      </c>
      <c r="W356" s="17">
        <v>418850.8</v>
      </c>
    </row>
    <row r="357" spans="1:23" ht="18" customHeight="1">
      <c r="A357" s="132" t="s">
        <v>267</v>
      </c>
      <c r="B357" s="132" t="s">
        <v>268</v>
      </c>
      <c r="C357" s="132" t="s">
        <v>591</v>
      </c>
      <c r="D357" s="145" t="s">
        <v>266</v>
      </c>
      <c r="E357" s="20"/>
      <c r="F357" s="20"/>
      <c r="G357" s="20"/>
      <c r="H357" s="20"/>
      <c r="I357" s="10">
        <f>SUM(I358:I366)</f>
        <v>5855014</v>
      </c>
      <c r="J357" s="10">
        <f aca="true" t="shared" si="40" ref="J357:W357">SUM(J358:J366)</f>
        <v>0</v>
      </c>
      <c r="K357" s="10">
        <f t="shared" si="40"/>
        <v>0</v>
      </c>
      <c r="L357" s="10">
        <f t="shared" si="40"/>
        <v>600000</v>
      </c>
      <c r="M357" s="10">
        <f t="shared" si="40"/>
        <v>341600</v>
      </c>
      <c r="N357" s="10">
        <f t="shared" si="40"/>
        <v>1005000</v>
      </c>
      <c r="O357" s="10">
        <f t="shared" si="40"/>
        <v>656414</v>
      </c>
      <c r="P357" s="10">
        <f t="shared" si="40"/>
        <v>875000</v>
      </c>
      <c r="Q357" s="10">
        <f t="shared" si="40"/>
        <v>1022000</v>
      </c>
      <c r="R357" s="10">
        <f t="shared" si="40"/>
        <v>60000</v>
      </c>
      <c r="S357" s="10">
        <f t="shared" si="40"/>
        <v>0</v>
      </c>
      <c r="T357" s="10">
        <f t="shared" si="40"/>
        <v>1195000</v>
      </c>
      <c r="U357" s="10">
        <f t="shared" si="40"/>
        <v>100000</v>
      </c>
      <c r="V357" s="10">
        <f t="shared" si="40"/>
        <v>0</v>
      </c>
      <c r="W357" s="10">
        <f t="shared" si="40"/>
        <v>2508155.1999999997</v>
      </c>
    </row>
    <row r="358" spans="1:23" ht="56.25">
      <c r="A358" s="134"/>
      <c r="B358" s="134"/>
      <c r="C358" s="134"/>
      <c r="D358" s="146"/>
      <c r="E358" s="20" t="s">
        <v>127</v>
      </c>
      <c r="F358" s="68">
        <f aca="true" t="shared" si="41" ref="F358:F366">I358</f>
        <v>1450000</v>
      </c>
      <c r="G358" s="76">
        <v>1</v>
      </c>
      <c r="H358" s="68">
        <f t="shared" si="39"/>
        <v>1450000</v>
      </c>
      <c r="I358" s="33">
        <v>1450000</v>
      </c>
      <c r="J358" s="17"/>
      <c r="K358" s="17"/>
      <c r="L358" s="17"/>
      <c r="M358" s="17"/>
      <c r="N358" s="17">
        <f>70000</f>
        <v>70000</v>
      </c>
      <c r="O358" s="17">
        <f>725000</f>
        <v>725000</v>
      </c>
      <c r="P358" s="17">
        <f>100000-70000</f>
        <v>30000</v>
      </c>
      <c r="Q358" s="17"/>
      <c r="R358" s="17">
        <f>185000-125000</f>
        <v>60000</v>
      </c>
      <c r="S358" s="17">
        <f>600000-600000</f>
        <v>0</v>
      </c>
      <c r="T358" s="17">
        <v>465000</v>
      </c>
      <c r="U358" s="17">
        <v>100000</v>
      </c>
      <c r="V358" s="17">
        <f t="shared" si="36"/>
        <v>0</v>
      </c>
      <c r="W358" s="17">
        <f>20859.6+43960+676357</f>
        <v>741176.6</v>
      </c>
    </row>
    <row r="359" spans="1:23" ht="37.5">
      <c r="A359" s="134"/>
      <c r="B359" s="134"/>
      <c r="C359" s="134"/>
      <c r="D359" s="146"/>
      <c r="E359" s="20" t="s">
        <v>1003</v>
      </c>
      <c r="F359" s="68">
        <f t="shared" si="41"/>
        <v>970000</v>
      </c>
      <c r="G359" s="76">
        <v>1</v>
      </c>
      <c r="H359" s="68">
        <f t="shared" si="39"/>
        <v>970000</v>
      </c>
      <c r="I359" s="33">
        <v>970000</v>
      </c>
      <c r="J359" s="17"/>
      <c r="K359" s="17"/>
      <c r="L359" s="17"/>
      <c r="M359" s="17"/>
      <c r="N359" s="17"/>
      <c r="O359" s="17">
        <f>291000</f>
        <v>291000</v>
      </c>
      <c r="P359" s="17">
        <f>285000-279000</f>
        <v>6000</v>
      </c>
      <c r="Q359" s="17">
        <f>220000-12000</f>
        <v>208000</v>
      </c>
      <c r="R359" s="17"/>
      <c r="S359" s="17"/>
      <c r="T359" s="17">
        <v>465000</v>
      </c>
      <c r="U359" s="17"/>
      <c r="V359" s="17">
        <f t="shared" si="36"/>
        <v>0</v>
      </c>
      <c r="W359" s="17">
        <f>285500.7</f>
        <v>285500.7</v>
      </c>
    </row>
    <row r="360" spans="1:23" ht="75">
      <c r="A360" s="134"/>
      <c r="B360" s="134"/>
      <c r="C360" s="134"/>
      <c r="D360" s="146"/>
      <c r="E360" s="20" t="s">
        <v>336</v>
      </c>
      <c r="F360" s="68">
        <f t="shared" si="41"/>
        <v>23414</v>
      </c>
      <c r="G360" s="76"/>
      <c r="H360" s="68">
        <f t="shared" si="39"/>
        <v>23414</v>
      </c>
      <c r="I360" s="33">
        <v>23414</v>
      </c>
      <c r="J360" s="17"/>
      <c r="K360" s="17"/>
      <c r="L360" s="17"/>
      <c r="M360" s="17"/>
      <c r="N360" s="17"/>
      <c r="O360" s="17">
        <f>23414-23000</f>
        <v>414</v>
      </c>
      <c r="P360" s="17">
        <f>23000</f>
        <v>23000</v>
      </c>
      <c r="Q360" s="17"/>
      <c r="R360" s="17"/>
      <c r="S360" s="17"/>
      <c r="T360" s="17"/>
      <c r="U360" s="17"/>
      <c r="V360" s="17">
        <f>I360-J360-K360-L360-M360-N360-O360-P360-Q360-R360-S360-T360-U360</f>
        <v>0</v>
      </c>
      <c r="W360" s="17"/>
    </row>
    <row r="361" spans="1:23" ht="37.5">
      <c r="A361" s="134"/>
      <c r="B361" s="134"/>
      <c r="C361" s="134"/>
      <c r="D361" s="146"/>
      <c r="E361" s="20" t="s">
        <v>208</v>
      </c>
      <c r="F361" s="68">
        <f t="shared" si="41"/>
        <v>1470000</v>
      </c>
      <c r="G361" s="76"/>
      <c r="H361" s="68">
        <f t="shared" si="39"/>
        <v>1470000</v>
      </c>
      <c r="I361" s="33">
        <v>1470000</v>
      </c>
      <c r="J361" s="17"/>
      <c r="K361" s="17"/>
      <c r="L361" s="17"/>
      <c r="M361" s="17"/>
      <c r="N361" s="17">
        <f>735000</f>
        <v>735000</v>
      </c>
      <c r="O361" s="17">
        <f>225000-225000-316000</f>
        <v>-316000</v>
      </c>
      <c r="P361" s="17">
        <f>470000-229000+316000</f>
        <v>557000</v>
      </c>
      <c r="Q361" s="17">
        <f>575000-281000</f>
        <v>294000</v>
      </c>
      <c r="R361" s="17"/>
      <c r="S361" s="17"/>
      <c r="T361" s="17">
        <v>200000</v>
      </c>
      <c r="U361" s="17"/>
      <c r="V361" s="17">
        <f>I361-J361-K361-L361-M361-N361-O361-P361-Q361-R361-S361-T361-U361</f>
        <v>0</v>
      </c>
      <c r="W361" s="17">
        <f>418887.6</f>
        <v>418887.6</v>
      </c>
    </row>
    <row r="362" spans="1:23" ht="102" customHeight="1">
      <c r="A362" s="134"/>
      <c r="B362" s="134"/>
      <c r="C362" s="134"/>
      <c r="D362" s="146"/>
      <c r="E362" s="20" t="s">
        <v>128</v>
      </c>
      <c r="F362" s="68">
        <f t="shared" si="41"/>
        <v>830600</v>
      </c>
      <c r="G362" s="76">
        <v>1</v>
      </c>
      <c r="H362" s="68">
        <f t="shared" si="39"/>
        <v>830600</v>
      </c>
      <c r="I362" s="33">
        <v>830600</v>
      </c>
      <c r="J362" s="17"/>
      <c r="K362" s="17"/>
      <c r="L362" s="17">
        <v>600000</v>
      </c>
      <c r="M362" s="17">
        <v>230600</v>
      </c>
      <c r="N362" s="17"/>
      <c r="O362" s="17">
        <f>-44000</f>
        <v>-44000</v>
      </c>
      <c r="P362" s="17">
        <f>130600-130600+44000</f>
        <v>44000</v>
      </c>
      <c r="Q362" s="17"/>
      <c r="R362" s="17"/>
      <c r="S362" s="17"/>
      <c r="T362" s="17">
        <f>550000-550000</f>
        <v>0</v>
      </c>
      <c r="U362" s="17">
        <f>150000-50000-100000</f>
        <v>0</v>
      </c>
      <c r="V362" s="17">
        <f aca="true" t="shared" si="42" ref="V362:V433">I362-J362-K362-L362-M362-N362-O362-P362-Q362-R362-S362-T362-U362</f>
        <v>0</v>
      </c>
      <c r="W362" s="17">
        <v>785972.2</v>
      </c>
    </row>
    <row r="363" spans="1:23" ht="93.75">
      <c r="A363" s="134"/>
      <c r="B363" s="134"/>
      <c r="C363" s="134"/>
      <c r="D363" s="146"/>
      <c r="E363" s="20" t="s">
        <v>120</v>
      </c>
      <c r="F363" s="68">
        <f t="shared" si="41"/>
        <v>111000</v>
      </c>
      <c r="G363" s="76"/>
      <c r="H363" s="68">
        <f t="shared" si="39"/>
        <v>111000</v>
      </c>
      <c r="I363" s="33">
        <v>111000</v>
      </c>
      <c r="J363" s="17"/>
      <c r="K363" s="17"/>
      <c r="L363" s="17"/>
      <c r="M363" s="17">
        <v>111000</v>
      </c>
      <c r="N363" s="17"/>
      <c r="O363" s="17"/>
      <c r="P363" s="17"/>
      <c r="Q363" s="17"/>
      <c r="R363" s="17"/>
      <c r="S363" s="17"/>
      <c r="T363" s="17"/>
      <c r="U363" s="17"/>
      <c r="V363" s="17"/>
      <c r="W363" s="17">
        <f>30000+70000</f>
        <v>100000</v>
      </c>
    </row>
    <row r="364" spans="1:23" ht="24.75" customHeight="1">
      <c r="A364" s="134"/>
      <c r="B364" s="134"/>
      <c r="C364" s="134"/>
      <c r="D364" s="146"/>
      <c r="E364" s="20" t="s">
        <v>129</v>
      </c>
      <c r="F364" s="68">
        <f t="shared" si="41"/>
        <v>1000000</v>
      </c>
      <c r="G364" s="76">
        <v>1</v>
      </c>
      <c r="H364" s="68">
        <f t="shared" si="39"/>
        <v>1000000</v>
      </c>
      <c r="I364" s="33">
        <v>1000000</v>
      </c>
      <c r="J364" s="17"/>
      <c r="K364" s="17"/>
      <c r="L364" s="17"/>
      <c r="M364" s="17"/>
      <c r="N364" s="17">
        <f>720000-520000</f>
        <v>200000</v>
      </c>
      <c r="O364" s="17"/>
      <c r="P364" s="17">
        <v>215000</v>
      </c>
      <c r="Q364" s="17">
        <v>520000</v>
      </c>
      <c r="R364" s="17"/>
      <c r="S364" s="17"/>
      <c r="T364" s="17">
        <v>65000</v>
      </c>
      <c r="U364" s="17"/>
      <c r="V364" s="17">
        <f t="shared" si="42"/>
        <v>0</v>
      </c>
      <c r="W364" s="17">
        <f>176618.1</f>
        <v>176618.1</v>
      </c>
    </row>
    <row r="365" spans="1:23" ht="63" customHeight="1" hidden="1">
      <c r="A365" s="134"/>
      <c r="B365" s="134"/>
      <c r="C365" s="134"/>
      <c r="D365" s="146"/>
      <c r="E365" s="29" t="s">
        <v>339</v>
      </c>
      <c r="F365" s="101">
        <f t="shared" si="41"/>
        <v>0</v>
      </c>
      <c r="G365" s="76">
        <v>1</v>
      </c>
      <c r="H365" s="101">
        <f>I365</f>
        <v>0</v>
      </c>
      <c r="I365" s="30">
        <f>800000-800000</f>
        <v>0</v>
      </c>
      <c r="J365" s="17"/>
      <c r="K365" s="17"/>
      <c r="L365" s="17"/>
      <c r="M365" s="17"/>
      <c r="N365" s="17">
        <f>600000-600000</f>
        <v>0</v>
      </c>
      <c r="O365" s="17"/>
      <c r="P365" s="17">
        <f>200000-200000</f>
        <v>0</v>
      </c>
      <c r="Q365" s="17"/>
      <c r="R365" s="17"/>
      <c r="S365" s="17"/>
      <c r="T365" s="17"/>
      <c r="U365" s="17"/>
      <c r="V365" s="17">
        <f t="shared" si="42"/>
        <v>0</v>
      </c>
      <c r="W365" s="17"/>
    </row>
    <row r="366" spans="1:23" ht="54" hidden="1">
      <c r="A366" s="134"/>
      <c r="B366" s="133"/>
      <c r="C366" s="134"/>
      <c r="D366" s="146"/>
      <c r="E366" s="20" t="s">
        <v>130</v>
      </c>
      <c r="F366" s="68">
        <f t="shared" si="41"/>
        <v>0</v>
      </c>
      <c r="G366" s="76">
        <v>1</v>
      </c>
      <c r="H366" s="68">
        <f t="shared" si="39"/>
        <v>0</v>
      </c>
      <c r="I366" s="33">
        <f>1352000-12000-1340000</f>
        <v>0</v>
      </c>
      <c r="J366" s="17"/>
      <c r="K366" s="17"/>
      <c r="L366" s="17"/>
      <c r="M366" s="17"/>
      <c r="N366" s="17">
        <f>100000-100000</f>
        <v>0</v>
      </c>
      <c r="O366" s="17"/>
      <c r="P366" s="17">
        <f>100000-100000</f>
        <v>0</v>
      </c>
      <c r="Q366" s="17"/>
      <c r="R366" s="17">
        <f>275000-275000</f>
        <v>0</v>
      </c>
      <c r="S366" s="17">
        <f>400000-400000</f>
        <v>0</v>
      </c>
      <c r="T366" s="17">
        <f>465000-465000</f>
        <v>0</v>
      </c>
      <c r="U366" s="17"/>
      <c r="V366" s="17">
        <f t="shared" si="42"/>
        <v>0</v>
      </c>
      <c r="W366" s="17"/>
    </row>
    <row r="367" spans="1:23" ht="18.75">
      <c r="A367" s="154">
        <v>1017470</v>
      </c>
      <c r="B367" s="132" t="s">
        <v>270</v>
      </c>
      <c r="C367" s="136" t="s">
        <v>480</v>
      </c>
      <c r="D367" s="145" t="s">
        <v>269</v>
      </c>
      <c r="E367" s="20"/>
      <c r="F367" s="20"/>
      <c r="G367" s="20"/>
      <c r="H367" s="20"/>
      <c r="I367" s="10">
        <f>I370+I368</f>
        <v>2750000</v>
      </c>
      <c r="J367" s="10">
        <f aca="true" t="shared" si="43" ref="J367:U367">J370+J368</f>
        <v>0</v>
      </c>
      <c r="K367" s="10">
        <f t="shared" si="43"/>
        <v>0</v>
      </c>
      <c r="L367" s="10">
        <f t="shared" si="43"/>
        <v>100000</v>
      </c>
      <c r="M367" s="10">
        <f t="shared" si="43"/>
        <v>0</v>
      </c>
      <c r="N367" s="10">
        <f t="shared" si="43"/>
        <v>-100000</v>
      </c>
      <c r="O367" s="10">
        <f t="shared" si="43"/>
        <v>0</v>
      </c>
      <c r="P367" s="10">
        <f t="shared" si="43"/>
        <v>428200</v>
      </c>
      <c r="Q367" s="10">
        <f t="shared" si="43"/>
        <v>0</v>
      </c>
      <c r="R367" s="10">
        <f t="shared" si="43"/>
        <v>550000</v>
      </c>
      <c r="S367" s="10">
        <f t="shared" si="43"/>
        <v>570800</v>
      </c>
      <c r="T367" s="10">
        <f t="shared" si="43"/>
        <v>1201000</v>
      </c>
      <c r="U367" s="10">
        <f t="shared" si="43"/>
        <v>0</v>
      </c>
      <c r="V367" s="10">
        <f>V370+V368</f>
        <v>0</v>
      </c>
      <c r="W367" s="10">
        <f>W370+W368</f>
        <v>0</v>
      </c>
    </row>
    <row r="368" spans="1:23" ht="56.25">
      <c r="A368" s="155"/>
      <c r="B368" s="134"/>
      <c r="C368" s="138"/>
      <c r="D368" s="146"/>
      <c r="E368" s="34" t="s">
        <v>331</v>
      </c>
      <c r="F368" s="20"/>
      <c r="G368" s="20"/>
      <c r="H368" s="20"/>
      <c r="I368" s="10">
        <f>I369</f>
        <v>1400000</v>
      </c>
      <c r="J368" s="10">
        <f aca="true" t="shared" si="44" ref="J368:W368">J369</f>
        <v>0</v>
      </c>
      <c r="K368" s="10">
        <f t="shared" si="44"/>
        <v>0</v>
      </c>
      <c r="L368" s="10">
        <f t="shared" si="44"/>
        <v>0</v>
      </c>
      <c r="M368" s="10">
        <f t="shared" si="44"/>
        <v>0</v>
      </c>
      <c r="N368" s="10">
        <f t="shared" si="44"/>
        <v>0</v>
      </c>
      <c r="O368" s="10">
        <f t="shared" si="44"/>
        <v>0</v>
      </c>
      <c r="P368" s="10">
        <f t="shared" si="44"/>
        <v>100000</v>
      </c>
      <c r="Q368" s="10">
        <f t="shared" si="44"/>
        <v>0</v>
      </c>
      <c r="R368" s="10">
        <f t="shared" si="44"/>
        <v>150000</v>
      </c>
      <c r="S368" s="10">
        <f t="shared" si="44"/>
        <v>249000</v>
      </c>
      <c r="T368" s="10">
        <f t="shared" si="44"/>
        <v>901000</v>
      </c>
      <c r="U368" s="10">
        <f t="shared" si="44"/>
        <v>0</v>
      </c>
      <c r="V368" s="19">
        <f t="shared" si="42"/>
        <v>0</v>
      </c>
      <c r="W368" s="10">
        <f t="shared" si="44"/>
        <v>0</v>
      </c>
    </row>
    <row r="369" spans="1:23" ht="56.25">
      <c r="A369" s="155"/>
      <c r="B369" s="134"/>
      <c r="C369" s="138"/>
      <c r="D369" s="146"/>
      <c r="E369" s="36" t="s">
        <v>332</v>
      </c>
      <c r="F369" s="20"/>
      <c r="G369" s="20"/>
      <c r="H369" s="20"/>
      <c r="I369" s="21">
        <v>1400000</v>
      </c>
      <c r="J369" s="21"/>
      <c r="K369" s="21"/>
      <c r="L369" s="21"/>
      <c r="M369" s="21"/>
      <c r="N369" s="21"/>
      <c r="O369" s="21"/>
      <c r="P369" s="21">
        <v>100000</v>
      </c>
      <c r="Q369" s="21"/>
      <c r="R369" s="21">
        <v>150000</v>
      </c>
      <c r="S369" s="21">
        <v>249000</v>
      </c>
      <c r="T369" s="21">
        <v>901000</v>
      </c>
      <c r="U369" s="21"/>
      <c r="V369" s="17">
        <f t="shared" si="42"/>
        <v>0</v>
      </c>
      <c r="W369" s="21"/>
    </row>
    <row r="370" spans="1:23" ht="37.5">
      <c r="A370" s="155"/>
      <c r="B370" s="134"/>
      <c r="C370" s="138"/>
      <c r="D370" s="146"/>
      <c r="E370" s="34" t="s">
        <v>856</v>
      </c>
      <c r="F370" s="34"/>
      <c r="G370" s="34"/>
      <c r="H370" s="34"/>
      <c r="I370" s="35">
        <f>SUM(I371:I371)</f>
        <v>1350000</v>
      </c>
      <c r="J370" s="35">
        <f aca="true" t="shared" si="45" ref="J370:W370">SUM(J371:J371)</f>
        <v>0</v>
      </c>
      <c r="K370" s="35">
        <f t="shared" si="45"/>
        <v>0</v>
      </c>
      <c r="L370" s="35">
        <f t="shared" si="45"/>
        <v>100000</v>
      </c>
      <c r="M370" s="35">
        <f t="shared" si="45"/>
        <v>0</v>
      </c>
      <c r="N370" s="35">
        <f t="shared" si="45"/>
        <v>-100000</v>
      </c>
      <c r="O370" s="35">
        <f t="shared" si="45"/>
        <v>0</v>
      </c>
      <c r="P370" s="35">
        <f t="shared" si="45"/>
        <v>328200</v>
      </c>
      <c r="Q370" s="35">
        <f t="shared" si="45"/>
        <v>0</v>
      </c>
      <c r="R370" s="35">
        <f t="shared" si="45"/>
        <v>400000</v>
      </c>
      <c r="S370" s="35">
        <f t="shared" si="45"/>
        <v>321800</v>
      </c>
      <c r="T370" s="35">
        <f t="shared" si="45"/>
        <v>300000</v>
      </c>
      <c r="U370" s="35">
        <f t="shared" si="45"/>
        <v>0</v>
      </c>
      <c r="V370" s="19">
        <f t="shared" si="42"/>
        <v>0</v>
      </c>
      <c r="W370" s="35">
        <f t="shared" si="45"/>
        <v>0</v>
      </c>
    </row>
    <row r="371" spans="1:23" ht="56.25">
      <c r="A371" s="156"/>
      <c r="B371" s="133"/>
      <c r="C371" s="137"/>
      <c r="D371" s="135"/>
      <c r="E371" s="36" t="s">
        <v>794</v>
      </c>
      <c r="F371" s="36"/>
      <c r="G371" s="36"/>
      <c r="H371" s="36"/>
      <c r="I371" s="30">
        <v>1350000</v>
      </c>
      <c r="J371" s="17"/>
      <c r="K371" s="17"/>
      <c r="L371" s="17">
        <v>100000</v>
      </c>
      <c r="M371" s="17"/>
      <c r="N371" s="17">
        <f>150000-250000</f>
        <v>-100000</v>
      </c>
      <c r="O371" s="17"/>
      <c r="P371" s="17">
        <f>100000+228200</f>
        <v>328200</v>
      </c>
      <c r="Q371" s="17"/>
      <c r="R371" s="17">
        <v>400000</v>
      </c>
      <c r="S371" s="17">
        <f>300000+21800</f>
        <v>321800</v>
      </c>
      <c r="T371" s="17">
        <v>300000</v>
      </c>
      <c r="U371" s="17"/>
      <c r="V371" s="17">
        <f t="shared" si="42"/>
        <v>0</v>
      </c>
      <c r="W371" s="17"/>
    </row>
    <row r="372" spans="1:23" ht="39" customHeight="1">
      <c r="A372" s="54" t="s">
        <v>517</v>
      </c>
      <c r="B372" s="125"/>
      <c r="C372" s="126"/>
      <c r="D372" s="175" t="s">
        <v>518</v>
      </c>
      <c r="E372" s="57"/>
      <c r="F372" s="17"/>
      <c r="G372" s="82"/>
      <c r="H372" s="17"/>
      <c r="I372" s="19">
        <f>I373</f>
        <v>49689187</v>
      </c>
      <c r="J372" s="19">
        <f aca="true" t="shared" si="46" ref="J372:W372">J373</f>
        <v>0</v>
      </c>
      <c r="K372" s="19">
        <f t="shared" si="46"/>
        <v>1107316</v>
      </c>
      <c r="L372" s="19">
        <f t="shared" si="46"/>
        <v>8219500</v>
      </c>
      <c r="M372" s="19">
        <f t="shared" si="46"/>
        <v>1817995</v>
      </c>
      <c r="N372" s="19">
        <f t="shared" si="46"/>
        <v>4903210</v>
      </c>
      <c r="O372" s="19">
        <f t="shared" si="46"/>
        <v>915000</v>
      </c>
      <c r="P372" s="19">
        <f t="shared" si="46"/>
        <v>4886506</v>
      </c>
      <c r="Q372" s="19">
        <f t="shared" si="46"/>
        <v>4329529</v>
      </c>
      <c r="R372" s="19">
        <f t="shared" si="46"/>
        <v>2410755</v>
      </c>
      <c r="S372" s="19">
        <f t="shared" si="46"/>
        <v>5195000</v>
      </c>
      <c r="T372" s="19">
        <f t="shared" si="46"/>
        <v>7880000</v>
      </c>
      <c r="U372" s="19">
        <f t="shared" si="46"/>
        <v>8024376</v>
      </c>
      <c r="V372" s="19">
        <f t="shared" si="46"/>
        <v>0</v>
      </c>
      <c r="W372" s="19">
        <f t="shared" si="46"/>
        <v>14033231.2</v>
      </c>
    </row>
    <row r="373" spans="1:23" ht="44.25" customHeight="1">
      <c r="A373" s="54" t="s">
        <v>519</v>
      </c>
      <c r="B373" s="125"/>
      <c r="C373" s="141"/>
      <c r="D373" s="175" t="s">
        <v>518</v>
      </c>
      <c r="E373" s="57"/>
      <c r="F373" s="17"/>
      <c r="G373" s="82"/>
      <c r="H373" s="17"/>
      <c r="I373" s="19">
        <f>I374+I376+I391+I395+I402+I407+I411+I405</f>
        <v>49689187</v>
      </c>
      <c r="J373" s="19">
        <f aca="true" t="shared" si="47" ref="J373:W373">J374+J376+J391+J395+J402+J407+J411+J405</f>
        <v>0</v>
      </c>
      <c r="K373" s="19">
        <f t="shared" si="47"/>
        <v>1107316</v>
      </c>
      <c r="L373" s="19">
        <f t="shared" si="47"/>
        <v>8219500</v>
      </c>
      <c r="M373" s="19">
        <f t="shared" si="47"/>
        <v>1817995</v>
      </c>
      <c r="N373" s="19">
        <f t="shared" si="47"/>
        <v>4903210</v>
      </c>
      <c r="O373" s="19">
        <f t="shared" si="47"/>
        <v>915000</v>
      </c>
      <c r="P373" s="19">
        <f t="shared" si="47"/>
        <v>4886506</v>
      </c>
      <c r="Q373" s="19">
        <f t="shared" si="47"/>
        <v>4329529</v>
      </c>
      <c r="R373" s="19">
        <f t="shared" si="47"/>
        <v>2410755</v>
      </c>
      <c r="S373" s="19">
        <f t="shared" si="47"/>
        <v>5195000</v>
      </c>
      <c r="T373" s="19">
        <f t="shared" si="47"/>
        <v>7880000</v>
      </c>
      <c r="U373" s="19">
        <f t="shared" si="47"/>
        <v>8024376</v>
      </c>
      <c r="V373" s="19">
        <f t="shared" si="47"/>
        <v>0</v>
      </c>
      <c r="W373" s="19">
        <f t="shared" si="47"/>
        <v>14033231.2</v>
      </c>
    </row>
    <row r="374" spans="1:23" ht="18.75">
      <c r="A374" s="132" t="s">
        <v>664</v>
      </c>
      <c r="B374" s="132" t="s">
        <v>677</v>
      </c>
      <c r="C374" s="132" t="s">
        <v>676</v>
      </c>
      <c r="D374" s="145" t="s">
        <v>868</v>
      </c>
      <c r="E374" s="39"/>
      <c r="F374" s="39"/>
      <c r="G374" s="39"/>
      <c r="H374" s="39"/>
      <c r="I374" s="19">
        <f>I375</f>
        <v>39000</v>
      </c>
      <c r="J374" s="19">
        <f aca="true" t="shared" si="48" ref="J374:W374">J375</f>
        <v>0</v>
      </c>
      <c r="K374" s="19">
        <f t="shared" si="48"/>
        <v>0</v>
      </c>
      <c r="L374" s="19">
        <f t="shared" si="48"/>
        <v>0</v>
      </c>
      <c r="M374" s="19">
        <f t="shared" si="48"/>
        <v>39000</v>
      </c>
      <c r="N374" s="19">
        <f t="shared" si="48"/>
        <v>0</v>
      </c>
      <c r="O374" s="19">
        <f t="shared" si="48"/>
        <v>0</v>
      </c>
      <c r="P374" s="19">
        <f t="shared" si="48"/>
        <v>0</v>
      </c>
      <c r="Q374" s="19">
        <f t="shared" si="48"/>
        <v>0</v>
      </c>
      <c r="R374" s="19">
        <f t="shared" si="48"/>
        <v>0</v>
      </c>
      <c r="S374" s="19">
        <f t="shared" si="48"/>
        <v>0</v>
      </c>
      <c r="T374" s="19">
        <f t="shared" si="48"/>
        <v>0</v>
      </c>
      <c r="U374" s="19">
        <f t="shared" si="48"/>
        <v>0</v>
      </c>
      <c r="V374" s="19">
        <f t="shared" si="48"/>
        <v>0</v>
      </c>
      <c r="W374" s="19">
        <f t="shared" si="48"/>
        <v>38499</v>
      </c>
    </row>
    <row r="375" spans="1:23" ht="83.25" customHeight="1">
      <c r="A375" s="133"/>
      <c r="B375" s="133"/>
      <c r="C375" s="133"/>
      <c r="D375" s="135"/>
      <c r="E375" s="39" t="s">
        <v>857</v>
      </c>
      <c r="F375" s="39"/>
      <c r="G375" s="39"/>
      <c r="H375" s="39"/>
      <c r="I375" s="17">
        <v>39000</v>
      </c>
      <c r="J375" s="17"/>
      <c r="K375" s="17"/>
      <c r="L375" s="17"/>
      <c r="M375" s="17">
        <v>39000</v>
      </c>
      <c r="N375" s="17"/>
      <c r="O375" s="17"/>
      <c r="P375" s="17"/>
      <c r="Q375" s="17"/>
      <c r="R375" s="17"/>
      <c r="S375" s="17"/>
      <c r="T375" s="17"/>
      <c r="U375" s="17"/>
      <c r="V375" s="17">
        <f t="shared" si="42"/>
        <v>0</v>
      </c>
      <c r="W375" s="17">
        <v>38499</v>
      </c>
    </row>
    <row r="376" spans="1:23" ht="18.75">
      <c r="A376" s="132" t="s">
        <v>494</v>
      </c>
      <c r="B376" s="132" t="s">
        <v>495</v>
      </c>
      <c r="C376" s="132" t="s">
        <v>574</v>
      </c>
      <c r="D376" s="145" t="s">
        <v>496</v>
      </c>
      <c r="E376" s="39"/>
      <c r="F376" s="39"/>
      <c r="G376" s="39"/>
      <c r="H376" s="39"/>
      <c r="I376" s="19">
        <f>SUM(I377:I390)</f>
        <v>32833707</v>
      </c>
      <c r="J376" s="19">
        <f aca="true" t="shared" si="49" ref="J376:W376">SUM(J377:J390)</f>
        <v>0</v>
      </c>
      <c r="K376" s="19">
        <f t="shared" si="49"/>
        <v>108117</v>
      </c>
      <c r="L376" s="19">
        <f t="shared" si="49"/>
        <v>534520</v>
      </c>
      <c r="M376" s="19">
        <f t="shared" si="49"/>
        <v>230546</v>
      </c>
      <c r="N376" s="19">
        <f t="shared" si="49"/>
        <v>5798760</v>
      </c>
      <c r="O376" s="19">
        <f t="shared" si="49"/>
        <v>1317477</v>
      </c>
      <c r="P376" s="19">
        <f t="shared" si="49"/>
        <v>1792942</v>
      </c>
      <c r="Q376" s="19">
        <f t="shared" si="49"/>
        <v>1507000</v>
      </c>
      <c r="R376" s="19">
        <f t="shared" si="49"/>
        <v>1479791</v>
      </c>
      <c r="S376" s="19">
        <f t="shared" si="49"/>
        <v>4654500</v>
      </c>
      <c r="T376" s="19">
        <f t="shared" si="49"/>
        <v>7735500</v>
      </c>
      <c r="U376" s="19">
        <f t="shared" si="49"/>
        <v>7674554</v>
      </c>
      <c r="V376" s="19">
        <f t="shared" si="49"/>
        <v>0</v>
      </c>
      <c r="W376" s="19">
        <f t="shared" si="49"/>
        <v>8160731.859999999</v>
      </c>
    </row>
    <row r="377" spans="1:23" ht="93.75">
      <c r="A377" s="134"/>
      <c r="B377" s="134"/>
      <c r="C377" s="134"/>
      <c r="D377" s="146"/>
      <c r="E377" s="39" t="s">
        <v>858</v>
      </c>
      <c r="F377" s="39"/>
      <c r="G377" s="39"/>
      <c r="H377" s="39"/>
      <c r="I377" s="17">
        <f>1333680-22105</f>
        <v>1311575</v>
      </c>
      <c r="J377" s="17"/>
      <c r="K377" s="17"/>
      <c r="L377" s="17">
        <f>1333680-700000-180500</f>
        <v>453180</v>
      </c>
      <c r="M377" s="17">
        <f>-144500-22105</f>
        <v>-166605</v>
      </c>
      <c r="N377" s="17">
        <v>-106846</v>
      </c>
      <c r="O377" s="17">
        <f>88723+626177</f>
        <v>714900</v>
      </c>
      <c r="P377" s="17">
        <v>18123</v>
      </c>
      <c r="Q377" s="17"/>
      <c r="R377" s="17">
        <f>180500-180500</f>
        <v>0</v>
      </c>
      <c r="S377" s="17"/>
      <c r="T377" s="17">
        <f>144500-144500</f>
        <v>0</v>
      </c>
      <c r="U377" s="17">
        <f>700000-301177</f>
        <v>398823</v>
      </c>
      <c r="V377" s="17">
        <f t="shared" si="42"/>
        <v>0</v>
      </c>
      <c r="W377" s="17">
        <f>162395+17334+470000+244900</f>
        <v>894629</v>
      </c>
    </row>
    <row r="378" spans="1:23" ht="150">
      <c r="A378" s="134"/>
      <c r="B378" s="134"/>
      <c r="C378" s="134"/>
      <c r="D378" s="146"/>
      <c r="E378" s="39" t="s">
        <v>859</v>
      </c>
      <c r="F378" s="39"/>
      <c r="G378" s="39"/>
      <c r="H378" s="39"/>
      <c r="I378" s="17">
        <v>486450</v>
      </c>
      <c r="J378" s="17"/>
      <c r="K378" s="17"/>
      <c r="L378" s="17"/>
      <c r="M378" s="17"/>
      <c r="N378" s="17"/>
      <c r="O378" s="115"/>
      <c r="P378" s="17"/>
      <c r="Q378" s="17"/>
      <c r="R378" s="17"/>
      <c r="S378" s="17">
        <v>486450</v>
      </c>
      <c r="T378" s="17"/>
      <c r="U378" s="17"/>
      <c r="V378" s="17">
        <f t="shared" si="42"/>
        <v>0</v>
      </c>
      <c r="W378" s="17"/>
    </row>
    <row r="379" spans="1:23" ht="131.25">
      <c r="A379" s="134"/>
      <c r="B379" s="134"/>
      <c r="C379" s="134"/>
      <c r="D379" s="146"/>
      <c r="E379" s="39" t="s">
        <v>119</v>
      </c>
      <c r="F379" s="39"/>
      <c r="G379" s="39"/>
      <c r="H379" s="39"/>
      <c r="I379" s="17">
        <v>46000</v>
      </c>
      <c r="J379" s="17"/>
      <c r="K379" s="17"/>
      <c r="L379" s="17"/>
      <c r="M379" s="17"/>
      <c r="N379" s="17">
        <v>46000</v>
      </c>
      <c r="O379" s="115"/>
      <c r="P379" s="17"/>
      <c r="Q379" s="17"/>
      <c r="R379" s="17"/>
      <c r="S379" s="17"/>
      <c r="T379" s="17"/>
      <c r="U379" s="17"/>
      <c r="V379" s="17"/>
      <c r="W379" s="17"/>
    </row>
    <row r="380" spans="1:23" ht="131.25">
      <c r="A380" s="134"/>
      <c r="B380" s="134"/>
      <c r="C380" s="134"/>
      <c r="D380" s="146"/>
      <c r="E380" s="39" t="s">
        <v>871</v>
      </c>
      <c r="F380" s="39"/>
      <c r="G380" s="39"/>
      <c r="H380" s="39"/>
      <c r="I380" s="17">
        <v>54000</v>
      </c>
      <c r="J380" s="17"/>
      <c r="K380" s="17"/>
      <c r="L380" s="17"/>
      <c r="M380" s="17"/>
      <c r="N380" s="17">
        <v>54000</v>
      </c>
      <c r="O380" s="115"/>
      <c r="P380" s="17"/>
      <c r="Q380" s="17"/>
      <c r="R380" s="17"/>
      <c r="S380" s="17"/>
      <c r="T380" s="17"/>
      <c r="U380" s="17"/>
      <c r="V380" s="17"/>
      <c r="W380" s="17">
        <v>53000</v>
      </c>
    </row>
    <row r="381" spans="1:23" ht="93.75">
      <c r="A381" s="134"/>
      <c r="B381" s="134"/>
      <c r="C381" s="134"/>
      <c r="D381" s="146"/>
      <c r="E381" s="39" t="s">
        <v>860</v>
      </c>
      <c r="F381" s="39"/>
      <c r="G381" s="39"/>
      <c r="H381" s="39"/>
      <c r="I381" s="17">
        <f>20158494+450000</f>
        <v>20608494</v>
      </c>
      <c r="J381" s="17"/>
      <c r="K381" s="17"/>
      <c r="L381" s="17"/>
      <c r="M381" s="17"/>
      <c r="N381" s="17">
        <v>5317400</v>
      </c>
      <c r="O381" s="17">
        <f>267000+187711</f>
        <v>454711</v>
      </c>
      <c r="P381" s="17">
        <f>2034870-2034870</f>
        <v>0</v>
      </c>
      <c r="Q381" s="17">
        <f>1854424-1854424</f>
        <v>0</v>
      </c>
      <c r="R381" s="17">
        <f>2152303-1428106-267000-187711</f>
        <v>269486</v>
      </c>
      <c r="S381" s="17">
        <v>3306897</v>
      </c>
      <c r="T381" s="17">
        <f>3568861+450000</f>
        <v>4018861</v>
      </c>
      <c r="U381" s="17">
        <v>7241139</v>
      </c>
      <c r="V381" s="17">
        <f t="shared" si="42"/>
        <v>0</v>
      </c>
      <c r="W381" s="17">
        <f>3027799.86+1582572.8+864949+296711</f>
        <v>5772032.66</v>
      </c>
    </row>
    <row r="382" spans="1:23" ht="75">
      <c r="A382" s="134"/>
      <c r="B382" s="134"/>
      <c r="C382" s="134"/>
      <c r="D382" s="146"/>
      <c r="E382" s="39" t="s">
        <v>155</v>
      </c>
      <c r="F382" s="39"/>
      <c r="G382" s="39"/>
      <c r="H382" s="39"/>
      <c r="I382" s="17">
        <v>84318</v>
      </c>
      <c r="J382" s="17"/>
      <c r="K382" s="17"/>
      <c r="L382" s="17"/>
      <c r="M382" s="17"/>
      <c r="N382" s="17">
        <v>84318</v>
      </c>
      <c r="O382" s="17">
        <f>84318-84318</f>
        <v>0</v>
      </c>
      <c r="P382" s="17"/>
      <c r="Q382" s="17"/>
      <c r="R382" s="17"/>
      <c r="S382" s="17"/>
      <c r="T382" s="17"/>
      <c r="U382" s="17"/>
      <c r="V382" s="17">
        <f t="shared" si="42"/>
        <v>0</v>
      </c>
      <c r="W382" s="17">
        <f>72000+12000</f>
        <v>84000</v>
      </c>
    </row>
    <row r="383" spans="1:23" ht="56.25">
      <c r="A383" s="134"/>
      <c r="B383" s="134"/>
      <c r="C383" s="134"/>
      <c r="D383" s="146"/>
      <c r="E383" s="39" t="s">
        <v>669</v>
      </c>
      <c r="F383" s="68">
        <f>I383</f>
        <v>34592</v>
      </c>
      <c r="G383" s="76">
        <v>1</v>
      </c>
      <c r="H383" s="68">
        <f aca="true" t="shared" si="50" ref="H383:H390">I383</f>
        <v>34592</v>
      </c>
      <c r="I383" s="17">
        <v>34592</v>
      </c>
      <c r="J383" s="17"/>
      <c r="K383" s="17"/>
      <c r="L383" s="17"/>
      <c r="M383" s="115"/>
      <c r="N383" s="17"/>
      <c r="O383" s="17"/>
      <c r="P383" s="17"/>
      <c r="Q383" s="17"/>
      <c r="R383" s="17"/>
      <c r="S383" s="17"/>
      <c r="T383" s="17">
        <v>34592</v>
      </c>
      <c r="U383" s="17"/>
      <c r="V383" s="17">
        <f t="shared" si="42"/>
        <v>0</v>
      </c>
      <c r="W383" s="17"/>
    </row>
    <row r="384" spans="1:23" ht="93.75">
      <c r="A384" s="134"/>
      <c r="B384" s="134"/>
      <c r="C384" s="134"/>
      <c r="D384" s="146"/>
      <c r="E384" s="39" t="s">
        <v>164</v>
      </c>
      <c r="F384" s="68">
        <f aca="true" t="shared" si="51" ref="F384:F390">I384</f>
        <v>153491</v>
      </c>
      <c r="G384" s="76">
        <v>1</v>
      </c>
      <c r="H384" s="68">
        <f t="shared" si="50"/>
        <v>153491</v>
      </c>
      <c r="I384" s="17">
        <v>153491</v>
      </c>
      <c r="J384" s="17"/>
      <c r="K384" s="17"/>
      <c r="L384" s="17">
        <v>81340</v>
      </c>
      <c r="M384" s="17">
        <v>72151</v>
      </c>
      <c r="N384" s="17">
        <v>-71075</v>
      </c>
      <c r="O384" s="17">
        <v>26900</v>
      </c>
      <c r="P384" s="17">
        <f>71075-26900</f>
        <v>44175</v>
      </c>
      <c r="Q384" s="17"/>
      <c r="R384" s="17"/>
      <c r="S384" s="17"/>
      <c r="T384" s="17"/>
      <c r="U384" s="17"/>
      <c r="V384" s="17">
        <f t="shared" si="42"/>
        <v>0</v>
      </c>
      <c r="W384" s="17">
        <f>80762.61+1652.4+26900.79</f>
        <v>109315.79999999999</v>
      </c>
    </row>
    <row r="385" spans="1:23" ht="161.25" customHeight="1">
      <c r="A385" s="134"/>
      <c r="B385" s="134"/>
      <c r="C385" s="134"/>
      <c r="D385" s="146"/>
      <c r="E385" s="39" t="s">
        <v>540</v>
      </c>
      <c r="F385" s="68">
        <f t="shared" si="51"/>
        <v>108117</v>
      </c>
      <c r="G385" s="76">
        <v>1</v>
      </c>
      <c r="H385" s="68">
        <f t="shared" si="50"/>
        <v>108117</v>
      </c>
      <c r="I385" s="17">
        <v>108117</v>
      </c>
      <c r="J385" s="19"/>
      <c r="K385" s="17">
        <v>108117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>
        <f t="shared" si="42"/>
        <v>0</v>
      </c>
      <c r="W385" s="17">
        <f>5235.2+28854.93</f>
        <v>34090.13</v>
      </c>
    </row>
    <row r="386" spans="1:23" ht="75">
      <c r="A386" s="134"/>
      <c r="B386" s="134"/>
      <c r="C386" s="134"/>
      <c r="D386" s="146"/>
      <c r="E386" s="39" t="s">
        <v>165</v>
      </c>
      <c r="F386" s="68">
        <f t="shared" si="51"/>
        <v>6900566</v>
      </c>
      <c r="G386" s="76">
        <v>1</v>
      </c>
      <c r="H386" s="68">
        <f t="shared" si="50"/>
        <v>6900566</v>
      </c>
      <c r="I386" s="17">
        <v>6900566</v>
      </c>
      <c r="J386" s="17"/>
      <c r="K386" s="17"/>
      <c r="L386" s="17"/>
      <c r="M386" s="17">
        <v>144500</v>
      </c>
      <c r="N386" s="17">
        <f>119214+240200</f>
        <v>359414</v>
      </c>
      <c r="O386" s="17">
        <f>151002-151002</f>
        <v>0</v>
      </c>
      <c r="P386" s="17">
        <f>601122-89198</f>
        <v>511924</v>
      </c>
      <c r="Q386" s="17">
        <v>407000</v>
      </c>
      <c r="R386" s="17">
        <v>934528</v>
      </c>
      <c r="S386" s="17">
        <v>861153</v>
      </c>
      <c r="T386" s="17">
        <f>3826547-144500</f>
        <v>3682047</v>
      </c>
      <c r="U386" s="17"/>
      <c r="V386" s="17">
        <f t="shared" si="42"/>
        <v>0</v>
      </c>
      <c r="W386" s="17">
        <f>144500+119214+209152.77+312368.53</f>
        <v>785235.3</v>
      </c>
    </row>
    <row r="387" spans="1:23" ht="93.75">
      <c r="A387" s="134"/>
      <c r="B387" s="134"/>
      <c r="C387" s="134"/>
      <c r="D387" s="146"/>
      <c r="E387" s="39" t="s">
        <v>166</v>
      </c>
      <c r="F387" s="68">
        <f t="shared" si="51"/>
        <v>980979</v>
      </c>
      <c r="G387" s="76">
        <v>1</v>
      </c>
      <c r="H387" s="68">
        <f t="shared" si="50"/>
        <v>980979</v>
      </c>
      <c r="I387" s="17">
        <v>980979</v>
      </c>
      <c r="J387" s="17"/>
      <c r="K387" s="17"/>
      <c r="L387" s="17"/>
      <c r="M387" s="17">
        <v>72750</v>
      </c>
      <c r="N387" s="17">
        <f>180946-84318-62279</f>
        <v>34349</v>
      </c>
      <c r="O387" s="17">
        <f>89400+84318+62279-26900-173940</f>
        <v>35157</v>
      </c>
      <c r="P387" s="17">
        <f>410600+26900</f>
        <v>437500</v>
      </c>
      <c r="Q387" s="17">
        <v>200000</v>
      </c>
      <c r="R387" s="17">
        <f>100033-72750+173940</f>
        <v>201223</v>
      </c>
      <c r="S387" s="17"/>
      <c r="T387" s="17"/>
      <c r="U387" s="17"/>
      <c r="V387" s="17">
        <f t="shared" si="42"/>
        <v>0</v>
      </c>
      <c r="W387" s="17">
        <f>37615.5+46075.5+58565+179871</f>
        <v>322127</v>
      </c>
    </row>
    <row r="388" spans="1:23" ht="93.75">
      <c r="A388" s="134"/>
      <c r="B388" s="134"/>
      <c r="C388" s="134"/>
      <c r="D388" s="146"/>
      <c r="E388" s="39" t="s">
        <v>167</v>
      </c>
      <c r="F388" s="68">
        <f t="shared" si="51"/>
        <v>1333333</v>
      </c>
      <c r="G388" s="76">
        <v>1</v>
      </c>
      <c r="H388" s="68">
        <f t="shared" si="50"/>
        <v>1333333</v>
      </c>
      <c r="I388" s="17">
        <v>1333333</v>
      </c>
      <c r="J388" s="17"/>
      <c r="K388" s="17"/>
      <c r="L388" s="17"/>
      <c r="M388" s="17">
        <v>39250</v>
      </c>
      <c r="N388" s="17">
        <v>53300</v>
      </c>
      <c r="O388" s="17">
        <f>49400-13771</f>
        <v>35629</v>
      </c>
      <c r="P388" s="17">
        <v>430600</v>
      </c>
      <c r="Q388" s="17">
        <v>700000</v>
      </c>
      <c r="R388" s="17">
        <f>100033-39250+13771</f>
        <v>74554</v>
      </c>
      <c r="S388" s="17"/>
      <c r="T388" s="17"/>
      <c r="U388" s="17"/>
      <c r="V388" s="17">
        <f t="shared" si="42"/>
        <v>0</v>
      </c>
      <c r="W388" s="17">
        <f>38584</f>
        <v>38584</v>
      </c>
    </row>
    <row r="389" spans="1:23" ht="93.75">
      <c r="A389" s="134"/>
      <c r="B389" s="134"/>
      <c r="C389" s="134"/>
      <c r="D389" s="146"/>
      <c r="E389" s="39" t="s">
        <v>810</v>
      </c>
      <c r="F389" s="68">
        <f>I389</f>
        <v>34592</v>
      </c>
      <c r="G389" s="76">
        <v>1</v>
      </c>
      <c r="H389" s="68">
        <f>I389</f>
        <v>34592</v>
      </c>
      <c r="I389" s="17">
        <v>34592</v>
      </c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>
        <v>34592</v>
      </c>
      <c r="V389" s="17">
        <f t="shared" si="42"/>
        <v>0</v>
      </c>
      <c r="W389" s="17"/>
    </row>
    <row r="390" spans="1:23" ht="112.5">
      <c r="A390" s="134"/>
      <c r="B390" s="134"/>
      <c r="C390" s="134"/>
      <c r="D390" s="146"/>
      <c r="E390" s="39" t="s">
        <v>809</v>
      </c>
      <c r="F390" s="68">
        <f t="shared" si="51"/>
        <v>697200</v>
      </c>
      <c r="G390" s="76">
        <v>1</v>
      </c>
      <c r="H390" s="68">
        <f t="shared" si="50"/>
        <v>697200</v>
      </c>
      <c r="I390" s="17">
        <v>697200</v>
      </c>
      <c r="J390" s="17"/>
      <c r="K390" s="17"/>
      <c r="L390" s="17"/>
      <c r="M390" s="17">
        <v>68500</v>
      </c>
      <c r="N390" s="17">
        <v>27900</v>
      </c>
      <c r="O390" s="17">
        <v>50180</v>
      </c>
      <c r="P390" s="17">
        <v>350620</v>
      </c>
      <c r="Q390" s="17">
        <v>200000</v>
      </c>
      <c r="R390" s="17">
        <f>68500-68500</f>
        <v>0</v>
      </c>
      <c r="S390" s="17"/>
      <c r="T390" s="17"/>
      <c r="U390" s="17"/>
      <c r="V390" s="17">
        <f t="shared" si="42"/>
        <v>0</v>
      </c>
      <c r="W390" s="17">
        <f>20315.39+47402.58</f>
        <v>67717.97</v>
      </c>
    </row>
    <row r="391" spans="1:23" ht="18.75">
      <c r="A391" s="132" t="s">
        <v>665</v>
      </c>
      <c r="B391" s="132" t="s">
        <v>271</v>
      </c>
      <c r="C391" s="132" t="s">
        <v>575</v>
      </c>
      <c r="D391" s="145" t="s">
        <v>729</v>
      </c>
      <c r="E391" s="39"/>
      <c r="F391" s="39"/>
      <c r="G391" s="39"/>
      <c r="H391" s="39"/>
      <c r="I391" s="19">
        <f>SUM(I392:I394)</f>
        <v>8042513</v>
      </c>
      <c r="J391" s="19">
        <f aca="true" t="shared" si="52" ref="J391:W391">SUM(J392:J394)</f>
        <v>0</v>
      </c>
      <c r="K391" s="19">
        <f t="shared" si="52"/>
        <v>0</v>
      </c>
      <c r="L391" s="19">
        <f t="shared" si="52"/>
        <v>5982913</v>
      </c>
      <c r="M391" s="19">
        <f t="shared" si="52"/>
        <v>759600</v>
      </c>
      <c r="N391" s="19">
        <f t="shared" si="52"/>
        <v>-1118060</v>
      </c>
      <c r="O391" s="19">
        <f t="shared" si="52"/>
        <v>-893177</v>
      </c>
      <c r="P391" s="19">
        <f t="shared" si="52"/>
        <v>969199</v>
      </c>
      <c r="Q391" s="19">
        <f t="shared" si="52"/>
        <v>1300000</v>
      </c>
      <c r="R391" s="19">
        <f t="shared" si="52"/>
        <v>596361</v>
      </c>
      <c r="S391" s="19">
        <f t="shared" si="52"/>
        <v>0</v>
      </c>
      <c r="T391" s="19">
        <f t="shared" si="52"/>
        <v>144500</v>
      </c>
      <c r="U391" s="19">
        <f t="shared" si="52"/>
        <v>301177</v>
      </c>
      <c r="V391" s="19">
        <f t="shared" si="52"/>
        <v>0</v>
      </c>
      <c r="W391" s="19">
        <f t="shared" si="52"/>
        <v>3441054.16</v>
      </c>
    </row>
    <row r="392" spans="1:23" ht="93.75">
      <c r="A392" s="134"/>
      <c r="B392" s="134"/>
      <c r="C392" s="134"/>
      <c r="D392" s="146"/>
      <c r="E392" s="39" t="s">
        <v>801</v>
      </c>
      <c r="F392" s="39"/>
      <c r="G392" s="39"/>
      <c r="H392" s="39"/>
      <c r="I392" s="17">
        <f>5982913+259600</f>
        <v>6242513</v>
      </c>
      <c r="J392" s="17"/>
      <c r="K392" s="17"/>
      <c r="L392" s="17">
        <v>5982913</v>
      </c>
      <c r="M392" s="17">
        <v>259600</v>
      </c>
      <c r="N392" s="17">
        <f>-93952-148861-969199</f>
        <v>-1212012</v>
      </c>
      <c r="O392" s="17">
        <v>-893177</v>
      </c>
      <c r="P392" s="17">
        <v>969199</v>
      </c>
      <c r="Q392" s="17">
        <v>93952</v>
      </c>
      <c r="R392" s="17">
        <f>148861+447500</f>
        <v>596361</v>
      </c>
      <c r="S392" s="17"/>
      <c r="T392" s="17">
        <f>144500</f>
        <v>144500</v>
      </c>
      <c r="U392" s="17">
        <f>301177</f>
        <v>301177</v>
      </c>
      <c r="V392" s="17">
        <f t="shared" si="42"/>
        <v>0</v>
      </c>
      <c r="W392" s="17">
        <f>40565+306950+474640+427846.2-427846.2+427846.2+1156600+61000+393000</f>
        <v>2860601.2</v>
      </c>
    </row>
    <row r="393" spans="1:23" ht="81.75" customHeight="1">
      <c r="A393" s="134"/>
      <c r="B393" s="134"/>
      <c r="C393" s="134"/>
      <c r="D393" s="146"/>
      <c r="E393" s="39" t="s">
        <v>811</v>
      </c>
      <c r="F393" s="68">
        <f>I393</f>
        <v>900000</v>
      </c>
      <c r="G393" s="76">
        <v>1</v>
      </c>
      <c r="H393" s="68">
        <f aca="true" t="shared" si="53" ref="H393:H410">I393</f>
        <v>900000</v>
      </c>
      <c r="I393" s="17">
        <f>900000-250000+250000</f>
        <v>900000</v>
      </c>
      <c r="J393" s="17"/>
      <c r="K393" s="17"/>
      <c r="L393" s="17"/>
      <c r="M393" s="17">
        <v>250000</v>
      </c>
      <c r="N393" s="17">
        <v>62676</v>
      </c>
      <c r="O393" s="17"/>
      <c r="P393" s="17"/>
      <c r="Q393" s="17">
        <f>900000-250000-62676</f>
        <v>587324</v>
      </c>
      <c r="R393" s="17"/>
      <c r="S393" s="17"/>
      <c r="T393" s="17"/>
      <c r="U393" s="17"/>
      <c r="V393" s="17">
        <f t="shared" si="42"/>
        <v>0</v>
      </c>
      <c r="W393" s="17">
        <f>62675.99+135007.03+105000</f>
        <v>302683.02</v>
      </c>
    </row>
    <row r="394" spans="1:23" ht="97.5" customHeight="1">
      <c r="A394" s="134"/>
      <c r="B394" s="133"/>
      <c r="C394" s="134"/>
      <c r="D394" s="146"/>
      <c r="E394" s="39" t="s">
        <v>812</v>
      </c>
      <c r="F394" s="68">
        <f>I394</f>
        <v>900000</v>
      </c>
      <c r="G394" s="76">
        <v>1</v>
      </c>
      <c r="H394" s="68">
        <f t="shared" si="53"/>
        <v>900000</v>
      </c>
      <c r="I394" s="17">
        <f>400000+250000+250000</f>
        <v>900000</v>
      </c>
      <c r="J394" s="17"/>
      <c r="K394" s="17"/>
      <c r="L394" s="17"/>
      <c r="M394" s="17">
        <v>250000</v>
      </c>
      <c r="N394" s="17">
        <v>31276</v>
      </c>
      <c r="O394" s="17"/>
      <c r="P394" s="17"/>
      <c r="Q394" s="17">
        <f>400000+250000-31276</f>
        <v>618724</v>
      </c>
      <c r="R394" s="17"/>
      <c r="S394" s="17"/>
      <c r="T394" s="17"/>
      <c r="U394" s="17"/>
      <c r="V394" s="17">
        <f t="shared" si="42"/>
        <v>0</v>
      </c>
      <c r="W394" s="17">
        <f>31276+33138.5+213355.44</f>
        <v>277769.94</v>
      </c>
    </row>
    <row r="395" spans="1:23" ht="18.75">
      <c r="A395" s="132" t="s">
        <v>730</v>
      </c>
      <c r="B395" s="132" t="s">
        <v>272</v>
      </c>
      <c r="C395" s="132" t="s">
        <v>576</v>
      </c>
      <c r="D395" s="145" t="s">
        <v>731</v>
      </c>
      <c r="E395" s="39"/>
      <c r="F395" s="39"/>
      <c r="G395" s="39"/>
      <c r="H395" s="39"/>
      <c r="I395" s="19">
        <f>SUM(I396:I401)</f>
        <v>5884655</v>
      </c>
      <c r="J395" s="19">
        <f aca="true" t="shared" si="54" ref="J395:W395">SUM(J396:J401)</f>
        <v>0</v>
      </c>
      <c r="K395" s="19">
        <f t="shared" si="54"/>
        <v>0</v>
      </c>
      <c r="L395" s="19">
        <f t="shared" si="54"/>
        <v>624367</v>
      </c>
      <c r="M395" s="19">
        <f t="shared" si="54"/>
        <v>611549</v>
      </c>
      <c r="N395" s="19">
        <f t="shared" si="54"/>
        <v>-132758</v>
      </c>
      <c r="O395" s="19">
        <f t="shared" si="54"/>
        <v>260855</v>
      </c>
      <c r="P395" s="19">
        <f t="shared" si="54"/>
        <v>2074365</v>
      </c>
      <c r="Q395" s="19">
        <f t="shared" si="54"/>
        <v>1522529</v>
      </c>
      <c r="R395" s="19">
        <f t="shared" si="54"/>
        <v>334603</v>
      </c>
      <c r="S395" s="19">
        <f t="shared" si="54"/>
        <v>540500</v>
      </c>
      <c r="T395" s="19">
        <f t="shared" si="54"/>
        <v>0</v>
      </c>
      <c r="U395" s="19">
        <f t="shared" si="54"/>
        <v>48645</v>
      </c>
      <c r="V395" s="19">
        <f t="shared" si="54"/>
        <v>0</v>
      </c>
      <c r="W395" s="19">
        <f t="shared" si="54"/>
        <v>1355086.4700000002</v>
      </c>
    </row>
    <row r="396" spans="1:23" ht="98.25" customHeight="1">
      <c r="A396" s="134"/>
      <c r="B396" s="134"/>
      <c r="C396" s="134"/>
      <c r="D396" s="146"/>
      <c r="E396" s="39" t="s">
        <v>98</v>
      </c>
      <c r="F396" s="68">
        <f aca="true" t="shared" si="55" ref="F396:F401">I396</f>
        <v>1485039</v>
      </c>
      <c r="G396" s="76">
        <v>1</v>
      </c>
      <c r="H396" s="68">
        <f t="shared" si="53"/>
        <v>1485039</v>
      </c>
      <c r="I396" s="17">
        <v>1485039</v>
      </c>
      <c r="J396" s="17"/>
      <c r="K396" s="17"/>
      <c r="L396" s="17">
        <v>160199</v>
      </c>
      <c r="M396" s="17">
        <v>281549</v>
      </c>
      <c r="N396" s="17">
        <f>135039-104000</f>
        <v>31039</v>
      </c>
      <c r="O396" s="17">
        <f>-9619-48645-21445</f>
        <v>-79709</v>
      </c>
      <c r="P396" s="17">
        <f>206073+104000+9619+21445</f>
        <v>341137</v>
      </c>
      <c r="Q396" s="17">
        <v>367576</v>
      </c>
      <c r="R396" s="17">
        <v>334603</v>
      </c>
      <c r="S396" s="17"/>
      <c r="T396" s="17"/>
      <c r="U396" s="17">
        <v>48645</v>
      </c>
      <c r="V396" s="17">
        <f t="shared" si="42"/>
        <v>0</v>
      </c>
      <c r="W396" s="17">
        <f>326813.74+57339.37</f>
        <v>384153.11</v>
      </c>
    </row>
    <row r="397" spans="1:23" ht="93.75">
      <c r="A397" s="134"/>
      <c r="B397" s="134"/>
      <c r="C397" s="134"/>
      <c r="D397" s="146"/>
      <c r="E397" s="39" t="s">
        <v>99</v>
      </c>
      <c r="F397" s="68">
        <f t="shared" si="55"/>
        <v>833333</v>
      </c>
      <c r="G397" s="76">
        <v>1</v>
      </c>
      <c r="H397" s="68">
        <f t="shared" si="53"/>
        <v>833333</v>
      </c>
      <c r="I397" s="17">
        <v>833333</v>
      </c>
      <c r="J397" s="17"/>
      <c r="K397" s="17"/>
      <c r="L397" s="17"/>
      <c r="M397" s="17"/>
      <c r="N397" s="17">
        <v>40000</v>
      </c>
      <c r="O397" s="17">
        <f>100000-104872</f>
        <v>-4872</v>
      </c>
      <c r="P397" s="17">
        <f>393333+104872</f>
        <v>498205</v>
      </c>
      <c r="Q397" s="17">
        <v>300000</v>
      </c>
      <c r="R397" s="17"/>
      <c r="S397" s="17"/>
      <c r="T397" s="17"/>
      <c r="U397" s="17"/>
      <c r="V397" s="17">
        <f t="shared" si="42"/>
        <v>0</v>
      </c>
      <c r="W397" s="17">
        <f>35128+35128-35128</f>
        <v>35128</v>
      </c>
    </row>
    <row r="398" spans="1:23" ht="93.75">
      <c r="A398" s="134"/>
      <c r="B398" s="134"/>
      <c r="C398" s="134"/>
      <c r="D398" s="146"/>
      <c r="E398" s="39" t="s">
        <v>100</v>
      </c>
      <c r="F398" s="68">
        <f t="shared" si="55"/>
        <v>833333</v>
      </c>
      <c r="G398" s="76">
        <v>1</v>
      </c>
      <c r="H398" s="68">
        <f t="shared" si="53"/>
        <v>833333</v>
      </c>
      <c r="I398" s="17">
        <v>833333</v>
      </c>
      <c r="J398" s="17"/>
      <c r="K398" s="17"/>
      <c r="L398" s="17"/>
      <c r="M398" s="17">
        <v>40000</v>
      </c>
      <c r="N398" s="17"/>
      <c r="O398" s="17">
        <f>100000-104872</f>
        <v>-4872</v>
      </c>
      <c r="P398" s="17">
        <f>552333+31300</f>
        <v>583633</v>
      </c>
      <c r="Q398" s="17">
        <f>141000+73572</f>
        <v>214572</v>
      </c>
      <c r="R398" s="17"/>
      <c r="S398" s="17"/>
      <c r="T398" s="17"/>
      <c r="U398" s="17"/>
      <c r="V398" s="17">
        <f t="shared" si="42"/>
        <v>0</v>
      </c>
      <c r="W398" s="17">
        <v>35128</v>
      </c>
    </row>
    <row r="399" spans="1:23" ht="93.75">
      <c r="A399" s="134"/>
      <c r="B399" s="134"/>
      <c r="C399" s="134"/>
      <c r="D399" s="146"/>
      <c r="E399" s="39" t="s">
        <v>101</v>
      </c>
      <c r="F399" s="68">
        <f t="shared" si="55"/>
        <v>894950</v>
      </c>
      <c r="G399" s="76">
        <v>1</v>
      </c>
      <c r="H399" s="68">
        <f t="shared" si="53"/>
        <v>894950</v>
      </c>
      <c r="I399" s="17">
        <v>894950</v>
      </c>
      <c r="J399" s="17"/>
      <c r="K399" s="17"/>
      <c r="L399" s="17"/>
      <c r="M399" s="17">
        <v>40000</v>
      </c>
      <c r="N399" s="17">
        <f>193333+104000</f>
        <v>297333</v>
      </c>
      <c r="O399" s="17">
        <v>231189</v>
      </c>
      <c r="P399" s="17">
        <f>261617-104000-157617</f>
        <v>0</v>
      </c>
      <c r="Q399" s="17">
        <f>400000-73572</f>
        <v>326428</v>
      </c>
      <c r="R399" s="17"/>
      <c r="S399" s="17"/>
      <c r="T399" s="17"/>
      <c r="U399" s="17"/>
      <c r="V399" s="17">
        <f t="shared" si="42"/>
        <v>0</v>
      </c>
      <c r="W399" s="17">
        <f>35128+234604.5+298789</f>
        <v>568521.5</v>
      </c>
    </row>
    <row r="400" spans="1:23" ht="93.75">
      <c r="A400" s="134"/>
      <c r="B400" s="134"/>
      <c r="C400" s="134"/>
      <c r="D400" s="146"/>
      <c r="E400" s="39" t="s">
        <v>217</v>
      </c>
      <c r="F400" s="68">
        <f t="shared" si="55"/>
        <v>1373832</v>
      </c>
      <c r="G400" s="76">
        <v>1</v>
      </c>
      <c r="H400" s="68">
        <f t="shared" si="53"/>
        <v>1373832</v>
      </c>
      <c r="I400" s="17">
        <v>1373832</v>
      </c>
      <c r="J400" s="17"/>
      <c r="K400" s="17"/>
      <c r="L400" s="17"/>
      <c r="M400" s="17">
        <v>250000</v>
      </c>
      <c r="N400" s="17">
        <f>125000-313953</f>
        <v>-188953</v>
      </c>
      <c r="O400" s="17">
        <f>109500-127643</f>
        <v>-18143</v>
      </c>
      <c r="P400" s="17">
        <f>348832+127643</f>
        <v>476475</v>
      </c>
      <c r="Q400" s="17">
        <v>313953</v>
      </c>
      <c r="R400" s="17"/>
      <c r="S400" s="17">
        <v>540500</v>
      </c>
      <c r="T400" s="17"/>
      <c r="U400" s="17"/>
      <c r="V400" s="17">
        <f t="shared" si="42"/>
        <v>0</v>
      </c>
      <c r="W400" s="17">
        <f>35128+7775.46</f>
        <v>42903.46</v>
      </c>
    </row>
    <row r="401" spans="1:23" ht="56.25">
      <c r="A401" s="134"/>
      <c r="B401" s="133"/>
      <c r="C401" s="134"/>
      <c r="D401" s="146"/>
      <c r="E401" s="39" t="s">
        <v>218</v>
      </c>
      <c r="F401" s="68">
        <f t="shared" si="55"/>
        <v>464168</v>
      </c>
      <c r="G401" s="76">
        <v>1</v>
      </c>
      <c r="H401" s="68">
        <f t="shared" si="53"/>
        <v>464168</v>
      </c>
      <c r="I401" s="17">
        <v>464168</v>
      </c>
      <c r="J401" s="17"/>
      <c r="K401" s="17"/>
      <c r="L401" s="17">
        <v>464168</v>
      </c>
      <c r="M401" s="17"/>
      <c r="N401" s="17">
        <v>-312177</v>
      </c>
      <c r="O401" s="17">
        <v>137262</v>
      </c>
      <c r="P401" s="17">
        <f>312177-137262</f>
        <v>174915</v>
      </c>
      <c r="Q401" s="17"/>
      <c r="R401" s="17"/>
      <c r="S401" s="17"/>
      <c r="T401" s="17"/>
      <c r="U401" s="17"/>
      <c r="V401" s="17">
        <f t="shared" si="42"/>
        <v>0</v>
      </c>
      <c r="W401" s="17">
        <f>128081+23909.4+137262</f>
        <v>289252.4</v>
      </c>
    </row>
    <row r="402" spans="1:23" ht="18.75" customHeight="1">
      <c r="A402" s="132" t="s">
        <v>666</v>
      </c>
      <c r="B402" s="132" t="s">
        <v>273</v>
      </c>
      <c r="C402" s="132" t="s">
        <v>577</v>
      </c>
      <c r="D402" s="145" t="s">
        <v>399</v>
      </c>
      <c r="E402" s="40"/>
      <c r="F402" s="40"/>
      <c r="G402" s="40"/>
      <c r="H402" s="40"/>
      <c r="I402" s="35">
        <f>SUM(I403:I404)</f>
        <v>567268</v>
      </c>
      <c r="J402" s="35">
        <f aca="true" t="shared" si="56" ref="J402:W402">SUM(J403:J404)</f>
        <v>0</v>
      </c>
      <c r="K402" s="35">
        <f t="shared" si="56"/>
        <v>0</v>
      </c>
      <c r="L402" s="35">
        <f t="shared" si="56"/>
        <v>372668</v>
      </c>
      <c r="M402" s="35">
        <f t="shared" si="56"/>
        <v>5000</v>
      </c>
      <c r="N402" s="35">
        <f t="shared" si="56"/>
        <v>58400</v>
      </c>
      <c r="O402" s="35">
        <f t="shared" si="56"/>
        <v>81200</v>
      </c>
      <c r="P402" s="35">
        <f t="shared" si="56"/>
        <v>50000</v>
      </c>
      <c r="Q402" s="35">
        <f t="shared" si="56"/>
        <v>0</v>
      </c>
      <c r="R402" s="35">
        <f t="shared" si="56"/>
        <v>0</v>
      </c>
      <c r="S402" s="35">
        <f t="shared" si="56"/>
        <v>0</v>
      </c>
      <c r="T402" s="35">
        <f t="shared" si="56"/>
        <v>0</v>
      </c>
      <c r="U402" s="35">
        <f t="shared" si="56"/>
        <v>0</v>
      </c>
      <c r="V402" s="35">
        <f t="shared" si="56"/>
        <v>0</v>
      </c>
      <c r="W402" s="35">
        <f t="shared" si="56"/>
        <v>238377.94000000003</v>
      </c>
    </row>
    <row r="403" spans="1:23" ht="79.5" customHeight="1">
      <c r="A403" s="134"/>
      <c r="B403" s="134"/>
      <c r="C403" s="134"/>
      <c r="D403" s="146"/>
      <c r="E403" s="40" t="s">
        <v>879</v>
      </c>
      <c r="F403" s="68">
        <f>I403</f>
        <v>372668</v>
      </c>
      <c r="G403" s="76">
        <v>1</v>
      </c>
      <c r="H403" s="68">
        <f t="shared" si="53"/>
        <v>372668</v>
      </c>
      <c r="I403" s="30">
        <f>372668+574200-574200</f>
        <v>372668</v>
      </c>
      <c r="J403" s="30"/>
      <c r="K403" s="30"/>
      <c r="L403" s="30">
        <f>377700-5032</f>
        <v>372668</v>
      </c>
      <c r="M403" s="30">
        <f>172300-172300</f>
        <v>0</v>
      </c>
      <c r="N403" s="30">
        <f>296868-296868</f>
        <v>0</v>
      </c>
      <c r="O403" s="30">
        <f>100000-100000</f>
        <v>0</v>
      </c>
      <c r="P403" s="30"/>
      <c r="Q403" s="30"/>
      <c r="R403" s="30"/>
      <c r="S403" s="30"/>
      <c r="T403" s="30"/>
      <c r="U403" s="17"/>
      <c r="V403" s="17">
        <f t="shared" si="42"/>
        <v>0</v>
      </c>
      <c r="W403" s="17">
        <f>155691.6+12005.26+19884.42</f>
        <v>187581.28000000003</v>
      </c>
    </row>
    <row r="404" spans="1:23" ht="81" customHeight="1">
      <c r="A404" s="133"/>
      <c r="B404" s="133"/>
      <c r="C404" s="133"/>
      <c r="D404" s="135"/>
      <c r="E404" s="40" t="s">
        <v>1057</v>
      </c>
      <c r="F404" s="68">
        <f>I404</f>
        <v>194600</v>
      </c>
      <c r="G404" s="76">
        <v>1</v>
      </c>
      <c r="H404" s="68">
        <f>I404</f>
        <v>194600</v>
      </c>
      <c r="I404" s="30">
        <v>194600</v>
      </c>
      <c r="J404" s="30"/>
      <c r="K404" s="30"/>
      <c r="L404" s="30"/>
      <c r="M404" s="30">
        <v>5000</v>
      </c>
      <c r="N404" s="30">
        <v>58400</v>
      </c>
      <c r="O404" s="30">
        <v>81200</v>
      </c>
      <c r="P404" s="30">
        <v>50000</v>
      </c>
      <c r="Q404" s="30"/>
      <c r="R404" s="30"/>
      <c r="S404" s="30"/>
      <c r="T404" s="30"/>
      <c r="U404" s="17"/>
      <c r="V404" s="17">
        <f t="shared" si="42"/>
        <v>0</v>
      </c>
      <c r="W404" s="17">
        <f>6367.2+44429.46</f>
        <v>50796.659999999996</v>
      </c>
    </row>
    <row r="405" spans="1:23" ht="18.75">
      <c r="A405" s="132" t="s">
        <v>1067</v>
      </c>
      <c r="B405" s="26"/>
      <c r="C405" s="26"/>
      <c r="D405" s="145" t="s">
        <v>231</v>
      </c>
      <c r="E405" s="40"/>
      <c r="F405" s="68"/>
      <c r="G405" s="76"/>
      <c r="H405" s="68"/>
      <c r="I405" s="35">
        <f>I406</f>
        <v>574200</v>
      </c>
      <c r="J405" s="35">
        <f aca="true" t="shared" si="57" ref="J405:W405">J406</f>
        <v>0</v>
      </c>
      <c r="K405" s="35">
        <f t="shared" si="57"/>
        <v>0</v>
      </c>
      <c r="L405" s="35">
        <f t="shared" si="57"/>
        <v>0</v>
      </c>
      <c r="M405" s="35">
        <f t="shared" si="57"/>
        <v>177332</v>
      </c>
      <c r="N405" s="35">
        <f t="shared" si="57"/>
        <v>296868</v>
      </c>
      <c r="O405" s="35">
        <f t="shared" si="57"/>
        <v>100000</v>
      </c>
      <c r="P405" s="35">
        <f t="shared" si="57"/>
        <v>0</v>
      </c>
      <c r="Q405" s="35">
        <f t="shared" si="57"/>
        <v>0</v>
      </c>
      <c r="R405" s="35">
        <f t="shared" si="57"/>
        <v>0</v>
      </c>
      <c r="S405" s="35">
        <f t="shared" si="57"/>
        <v>0</v>
      </c>
      <c r="T405" s="35">
        <f t="shared" si="57"/>
        <v>0</v>
      </c>
      <c r="U405" s="35">
        <f t="shared" si="57"/>
        <v>0</v>
      </c>
      <c r="V405" s="35">
        <f t="shared" si="57"/>
        <v>0</v>
      </c>
      <c r="W405" s="35">
        <f t="shared" si="57"/>
        <v>21600</v>
      </c>
    </row>
    <row r="406" spans="1:23" ht="81" customHeight="1">
      <c r="A406" s="134"/>
      <c r="B406" s="26"/>
      <c r="C406" s="26"/>
      <c r="D406" s="135"/>
      <c r="E406" s="40" t="s">
        <v>97</v>
      </c>
      <c r="F406" s="68"/>
      <c r="G406" s="76"/>
      <c r="H406" s="68"/>
      <c r="I406" s="30">
        <v>574200</v>
      </c>
      <c r="J406" s="17"/>
      <c r="K406" s="17"/>
      <c r="L406" s="17"/>
      <c r="M406" s="17">
        <v>177332</v>
      </c>
      <c r="N406" s="17">
        <v>296868</v>
      </c>
      <c r="O406" s="17">
        <v>100000</v>
      </c>
      <c r="P406" s="30"/>
      <c r="Q406" s="30"/>
      <c r="R406" s="30"/>
      <c r="S406" s="30"/>
      <c r="T406" s="30"/>
      <c r="U406" s="17"/>
      <c r="V406" s="17">
        <f>I406-J406-K406-L406-M406-N406-O406-P406-Q406-R406-S406-T406-U406</f>
        <v>0</v>
      </c>
      <c r="W406" s="17">
        <f>216000-194400</f>
        <v>21600</v>
      </c>
    </row>
    <row r="407" spans="1:23" ht="18.75">
      <c r="A407" s="132" t="s">
        <v>981</v>
      </c>
      <c r="B407" s="132" t="s">
        <v>274</v>
      </c>
      <c r="C407" s="132" t="s">
        <v>574</v>
      </c>
      <c r="D407" s="145" t="s">
        <v>980</v>
      </c>
      <c r="E407" s="40"/>
      <c r="F407" s="40"/>
      <c r="G407" s="40"/>
      <c r="H407" s="40"/>
      <c r="I407" s="35">
        <f>SUM(I408:I410)</f>
        <v>1047844</v>
      </c>
      <c r="J407" s="35">
        <f aca="true" t="shared" si="58" ref="J407:W407">SUM(J408:J410)</f>
        <v>0</v>
      </c>
      <c r="K407" s="35">
        <f t="shared" si="58"/>
        <v>999199</v>
      </c>
      <c r="L407" s="35">
        <f t="shared" si="58"/>
        <v>5032</v>
      </c>
      <c r="M407" s="35">
        <f t="shared" si="58"/>
        <v>-5032</v>
      </c>
      <c r="N407" s="35">
        <f t="shared" si="58"/>
        <v>0</v>
      </c>
      <c r="O407" s="35">
        <f t="shared" si="58"/>
        <v>48645</v>
      </c>
      <c r="P407" s="35">
        <f t="shared" si="58"/>
        <v>0</v>
      </c>
      <c r="Q407" s="35">
        <f t="shared" si="58"/>
        <v>0</v>
      </c>
      <c r="R407" s="35">
        <f t="shared" si="58"/>
        <v>0</v>
      </c>
      <c r="S407" s="35">
        <f t="shared" si="58"/>
        <v>0</v>
      </c>
      <c r="T407" s="35">
        <f t="shared" si="58"/>
        <v>0</v>
      </c>
      <c r="U407" s="35">
        <f t="shared" si="58"/>
        <v>0</v>
      </c>
      <c r="V407" s="35">
        <f t="shared" si="58"/>
        <v>0</v>
      </c>
      <c r="W407" s="35">
        <f t="shared" si="58"/>
        <v>78636.76999999999</v>
      </c>
    </row>
    <row r="408" spans="1:23" ht="157.5" customHeight="1">
      <c r="A408" s="134"/>
      <c r="B408" s="134"/>
      <c r="C408" s="134"/>
      <c r="D408" s="146"/>
      <c r="E408" s="40" t="s">
        <v>585</v>
      </c>
      <c r="F408" s="68">
        <f>I408</f>
        <v>999199</v>
      </c>
      <c r="G408" s="76">
        <v>1</v>
      </c>
      <c r="H408" s="68">
        <f t="shared" si="53"/>
        <v>999199</v>
      </c>
      <c r="I408" s="30">
        <v>999199</v>
      </c>
      <c r="J408" s="17"/>
      <c r="K408" s="17">
        <v>999199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>
        <f t="shared" si="42"/>
        <v>0</v>
      </c>
      <c r="W408" s="17">
        <v>30000</v>
      </c>
    </row>
    <row r="409" spans="1:23" ht="54" hidden="1">
      <c r="A409" s="134"/>
      <c r="B409" s="134"/>
      <c r="C409" s="134"/>
      <c r="D409" s="146"/>
      <c r="E409" s="40" t="s">
        <v>97</v>
      </c>
      <c r="F409" s="68"/>
      <c r="G409" s="76"/>
      <c r="H409" s="68"/>
      <c r="I409" s="30">
        <f>574200-574200</f>
        <v>0</v>
      </c>
      <c r="J409" s="17"/>
      <c r="K409" s="17"/>
      <c r="L409" s="17">
        <v>5032</v>
      </c>
      <c r="M409" s="17">
        <f>172300-177332</f>
        <v>-5032</v>
      </c>
      <c r="N409" s="17">
        <f>296868-296868</f>
        <v>0</v>
      </c>
      <c r="O409" s="17">
        <f>100000-100000</f>
        <v>0</v>
      </c>
      <c r="P409" s="17"/>
      <c r="Q409" s="17"/>
      <c r="R409" s="17"/>
      <c r="S409" s="17"/>
      <c r="T409" s="17"/>
      <c r="U409" s="17"/>
      <c r="V409" s="17">
        <f>I409-J409-K409-L409-M409-N409-O409-P409-Q409-R409-S409-T409-U409</f>
        <v>0</v>
      </c>
      <c r="W409" s="17"/>
    </row>
    <row r="410" spans="1:23" ht="81" customHeight="1">
      <c r="A410" s="133"/>
      <c r="B410" s="133"/>
      <c r="C410" s="133"/>
      <c r="D410" s="135"/>
      <c r="E410" s="40" t="s">
        <v>359</v>
      </c>
      <c r="F410" s="68">
        <f>I410</f>
        <v>48645</v>
      </c>
      <c r="G410" s="76">
        <v>1</v>
      </c>
      <c r="H410" s="68">
        <f t="shared" si="53"/>
        <v>48645</v>
      </c>
      <c r="I410" s="30">
        <v>48645</v>
      </c>
      <c r="J410" s="17"/>
      <c r="K410" s="17"/>
      <c r="L410" s="17"/>
      <c r="M410" s="17"/>
      <c r="N410" s="17"/>
      <c r="O410" s="17">
        <v>48645</v>
      </c>
      <c r="P410" s="17"/>
      <c r="Q410" s="17"/>
      <c r="R410" s="17"/>
      <c r="S410" s="17"/>
      <c r="T410" s="17"/>
      <c r="U410" s="17">
        <f>48645-48645</f>
        <v>0</v>
      </c>
      <c r="V410" s="17">
        <f t="shared" si="42"/>
        <v>0</v>
      </c>
      <c r="W410" s="17">
        <v>48636.77</v>
      </c>
    </row>
    <row r="411" spans="1:23" s="7" customFormat="1" ht="18.75">
      <c r="A411" s="132" t="s">
        <v>275</v>
      </c>
      <c r="B411" s="132" t="s">
        <v>276</v>
      </c>
      <c r="C411" s="136" t="s">
        <v>677</v>
      </c>
      <c r="D411" s="132" t="s">
        <v>481</v>
      </c>
      <c r="E411" s="41"/>
      <c r="F411" s="41"/>
      <c r="G411" s="41"/>
      <c r="H411" s="41"/>
      <c r="I411" s="35">
        <f>SUM(I412:I412)</f>
        <v>700000</v>
      </c>
      <c r="J411" s="35">
        <f aca="true" t="shared" si="59" ref="J411:W411">SUM(J412:J412)</f>
        <v>0</v>
      </c>
      <c r="K411" s="35">
        <f t="shared" si="59"/>
        <v>0</v>
      </c>
      <c r="L411" s="35">
        <f t="shared" si="59"/>
        <v>700000</v>
      </c>
      <c r="M411" s="35">
        <f t="shared" si="59"/>
        <v>0</v>
      </c>
      <c r="N411" s="35">
        <f t="shared" si="59"/>
        <v>0</v>
      </c>
      <c r="O411" s="35">
        <f t="shared" si="59"/>
        <v>0</v>
      </c>
      <c r="P411" s="35">
        <f t="shared" si="59"/>
        <v>0</v>
      </c>
      <c r="Q411" s="35">
        <f t="shared" si="59"/>
        <v>0</v>
      </c>
      <c r="R411" s="35">
        <f t="shared" si="59"/>
        <v>0</v>
      </c>
      <c r="S411" s="35">
        <f t="shared" si="59"/>
        <v>0</v>
      </c>
      <c r="T411" s="35">
        <f t="shared" si="59"/>
        <v>0</v>
      </c>
      <c r="U411" s="35">
        <f t="shared" si="59"/>
        <v>0</v>
      </c>
      <c r="V411" s="35">
        <f t="shared" si="59"/>
        <v>0</v>
      </c>
      <c r="W411" s="35">
        <f t="shared" si="59"/>
        <v>699245</v>
      </c>
    </row>
    <row r="412" spans="1:23" ht="81.75" customHeight="1">
      <c r="A412" s="133"/>
      <c r="B412" s="133"/>
      <c r="C412" s="137"/>
      <c r="D412" s="133"/>
      <c r="E412" s="40" t="s">
        <v>140</v>
      </c>
      <c r="F412" s="40"/>
      <c r="G412" s="40"/>
      <c r="H412" s="40"/>
      <c r="I412" s="30">
        <v>700000</v>
      </c>
      <c r="J412" s="17"/>
      <c r="K412" s="17"/>
      <c r="L412" s="17">
        <v>700000</v>
      </c>
      <c r="M412" s="17"/>
      <c r="N412" s="17"/>
      <c r="O412" s="17"/>
      <c r="P412" s="17"/>
      <c r="Q412" s="17"/>
      <c r="R412" s="17"/>
      <c r="S412" s="17"/>
      <c r="T412" s="17"/>
      <c r="U412" s="17">
        <f>700000-700000</f>
        <v>0</v>
      </c>
      <c r="V412" s="17">
        <f t="shared" si="42"/>
        <v>0</v>
      </c>
      <c r="W412" s="17">
        <v>699245</v>
      </c>
    </row>
    <row r="413" spans="1:23" ht="37.5">
      <c r="A413" s="54" t="s">
        <v>732</v>
      </c>
      <c r="B413" s="125"/>
      <c r="C413" s="126"/>
      <c r="D413" s="175" t="s">
        <v>400</v>
      </c>
      <c r="E413" s="57"/>
      <c r="F413" s="17"/>
      <c r="G413" s="82"/>
      <c r="H413" s="17"/>
      <c r="I413" s="19">
        <f>I414</f>
        <v>5756600</v>
      </c>
      <c r="J413" s="19">
        <f aca="true" t="shared" si="60" ref="J413:W413">J414</f>
        <v>0</v>
      </c>
      <c r="K413" s="19">
        <f t="shared" si="60"/>
        <v>40000</v>
      </c>
      <c r="L413" s="19">
        <f t="shared" si="60"/>
        <v>1000000</v>
      </c>
      <c r="M413" s="19">
        <f t="shared" si="60"/>
        <v>105000</v>
      </c>
      <c r="N413" s="19">
        <f t="shared" si="60"/>
        <v>150000</v>
      </c>
      <c r="O413" s="19">
        <f t="shared" si="60"/>
        <v>115000</v>
      </c>
      <c r="P413" s="19">
        <f t="shared" si="60"/>
        <v>685000</v>
      </c>
      <c r="Q413" s="19">
        <f t="shared" si="60"/>
        <v>715000</v>
      </c>
      <c r="R413" s="19">
        <f t="shared" si="60"/>
        <v>450000</v>
      </c>
      <c r="S413" s="19">
        <f t="shared" si="60"/>
        <v>630000</v>
      </c>
      <c r="T413" s="19">
        <f t="shared" si="60"/>
        <v>905000</v>
      </c>
      <c r="U413" s="19">
        <f t="shared" si="60"/>
        <v>961600</v>
      </c>
      <c r="V413" s="19">
        <f t="shared" si="60"/>
        <v>0</v>
      </c>
      <c r="W413" s="19">
        <f t="shared" si="60"/>
        <v>279225</v>
      </c>
    </row>
    <row r="414" spans="1:23" ht="37.5">
      <c r="A414" s="54" t="s">
        <v>733</v>
      </c>
      <c r="B414" s="125"/>
      <c r="C414" s="141"/>
      <c r="D414" s="175" t="s">
        <v>400</v>
      </c>
      <c r="E414" s="57"/>
      <c r="F414" s="17"/>
      <c r="G414" s="82"/>
      <c r="H414" s="17"/>
      <c r="I414" s="19">
        <f>I415+I422+I425+I427</f>
        <v>5756600</v>
      </c>
      <c r="J414" s="19">
        <f aca="true" t="shared" si="61" ref="J414:W414">J415+J422+J425+J427</f>
        <v>0</v>
      </c>
      <c r="K414" s="19">
        <f t="shared" si="61"/>
        <v>40000</v>
      </c>
      <c r="L414" s="19">
        <f t="shared" si="61"/>
        <v>1000000</v>
      </c>
      <c r="M414" s="19">
        <f t="shared" si="61"/>
        <v>105000</v>
      </c>
      <c r="N414" s="19">
        <f t="shared" si="61"/>
        <v>150000</v>
      </c>
      <c r="O414" s="19">
        <f t="shared" si="61"/>
        <v>115000</v>
      </c>
      <c r="P414" s="19">
        <f t="shared" si="61"/>
        <v>685000</v>
      </c>
      <c r="Q414" s="19">
        <f t="shared" si="61"/>
        <v>715000</v>
      </c>
      <c r="R414" s="19">
        <f t="shared" si="61"/>
        <v>450000</v>
      </c>
      <c r="S414" s="19">
        <f t="shared" si="61"/>
        <v>630000</v>
      </c>
      <c r="T414" s="19">
        <f t="shared" si="61"/>
        <v>905000</v>
      </c>
      <c r="U414" s="19">
        <f t="shared" si="61"/>
        <v>961600</v>
      </c>
      <c r="V414" s="19">
        <f t="shared" si="61"/>
        <v>0</v>
      </c>
      <c r="W414" s="19">
        <f t="shared" si="61"/>
        <v>279225</v>
      </c>
    </row>
    <row r="415" spans="1:23" ht="18.75">
      <c r="A415" s="147" t="s">
        <v>401</v>
      </c>
      <c r="B415" s="132" t="s">
        <v>677</v>
      </c>
      <c r="C415" s="151" t="s">
        <v>676</v>
      </c>
      <c r="D415" s="148" t="s">
        <v>868</v>
      </c>
      <c r="E415" s="39"/>
      <c r="F415" s="39"/>
      <c r="G415" s="39"/>
      <c r="H415" s="39"/>
      <c r="I415" s="19">
        <f>SUM(I416:I421)</f>
        <v>868000</v>
      </c>
      <c r="J415" s="19">
        <f aca="true" t="shared" si="62" ref="J415:W415">SUM(J416:J421)</f>
        <v>0</v>
      </c>
      <c r="K415" s="19">
        <f t="shared" si="62"/>
        <v>0</v>
      </c>
      <c r="L415" s="19">
        <f t="shared" si="62"/>
        <v>0</v>
      </c>
      <c r="M415" s="19">
        <f t="shared" si="62"/>
        <v>0</v>
      </c>
      <c r="N415" s="19">
        <f t="shared" si="62"/>
        <v>0</v>
      </c>
      <c r="O415" s="19">
        <f t="shared" si="62"/>
        <v>0</v>
      </c>
      <c r="P415" s="19">
        <f t="shared" si="62"/>
        <v>0</v>
      </c>
      <c r="Q415" s="19">
        <f t="shared" si="62"/>
        <v>0</v>
      </c>
      <c r="R415" s="19">
        <f t="shared" si="62"/>
        <v>196500</v>
      </c>
      <c r="S415" s="19">
        <f t="shared" si="62"/>
        <v>580000</v>
      </c>
      <c r="T415" s="19">
        <f t="shared" si="62"/>
        <v>91500</v>
      </c>
      <c r="U415" s="19">
        <f t="shared" si="62"/>
        <v>0</v>
      </c>
      <c r="V415" s="19">
        <f t="shared" si="62"/>
        <v>0</v>
      </c>
      <c r="W415" s="19">
        <f t="shared" si="62"/>
        <v>0</v>
      </c>
    </row>
    <row r="416" spans="1:23" ht="56.25">
      <c r="A416" s="147"/>
      <c r="B416" s="134"/>
      <c r="C416" s="151"/>
      <c r="D416" s="148"/>
      <c r="E416" s="39" t="s">
        <v>141</v>
      </c>
      <c r="F416" s="39"/>
      <c r="G416" s="39"/>
      <c r="H416" s="39"/>
      <c r="I416" s="30">
        <v>196500</v>
      </c>
      <c r="J416" s="17"/>
      <c r="K416" s="17"/>
      <c r="L416" s="17"/>
      <c r="M416" s="17"/>
      <c r="N416" s="17"/>
      <c r="O416" s="17"/>
      <c r="P416" s="17"/>
      <c r="Q416" s="17"/>
      <c r="R416" s="17">
        <v>196500</v>
      </c>
      <c r="S416" s="17"/>
      <c r="T416" s="17"/>
      <c r="U416" s="17"/>
      <c r="V416" s="17">
        <f t="shared" si="42"/>
        <v>0</v>
      </c>
      <c r="W416" s="17"/>
    </row>
    <row r="417" spans="1:23" ht="56.25" customHeight="1">
      <c r="A417" s="147"/>
      <c r="B417" s="134"/>
      <c r="C417" s="151"/>
      <c r="D417" s="148"/>
      <c r="E417" s="39" t="s">
        <v>142</v>
      </c>
      <c r="F417" s="39"/>
      <c r="G417" s="39"/>
      <c r="H417" s="39"/>
      <c r="I417" s="30">
        <v>100000</v>
      </c>
      <c r="J417" s="17"/>
      <c r="K417" s="17"/>
      <c r="L417" s="17"/>
      <c r="M417" s="17"/>
      <c r="N417" s="17"/>
      <c r="O417" s="17"/>
      <c r="P417" s="17"/>
      <c r="Q417" s="17"/>
      <c r="R417" s="17"/>
      <c r="S417" s="17">
        <v>100000</v>
      </c>
      <c r="T417" s="17"/>
      <c r="U417" s="17"/>
      <c r="V417" s="17">
        <f t="shared" si="42"/>
        <v>0</v>
      </c>
      <c r="W417" s="17"/>
    </row>
    <row r="418" spans="1:23" ht="120.75" customHeight="1">
      <c r="A418" s="147"/>
      <c r="B418" s="134"/>
      <c r="C418" s="151"/>
      <c r="D418" s="148"/>
      <c r="E418" s="39" t="s">
        <v>143</v>
      </c>
      <c r="F418" s="39"/>
      <c r="G418" s="39"/>
      <c r="H418" s="39"/>
      <c r="I418" s="30">
        <v>100000</v>
      </c>
      <c r="J418" s="17"/>
      <c r="K418" s="17"/>
      <c r="L418" s="17"/>
      <c r="M418" s="17"/>
      <c r="N418" s="17"/>
      <c r="O418" s="17"/>
      <c r="P418" s="17"/>
      <c r="Q418" s="17"/>
      <c r="R418" s="17"/>
      <c r="S418" s="17">
        <v>100000</v>
      </c>
      <c r="T418" s="17"/>
      <c r="U418" s="17"/>
      <c r="V418" s="17">
        <f t="shared" si="42"/>
        <v>0</v>
      </c>
      <c r="W418" s="17"/>
    </row>
    <row r="419" spans="1:23" ht="36" hidden="1">
      <c r="A419" s="147"/>
      <c r="B419" s="134"/>
      <c r="C419" s="151"/>
      <c r="D419" s="148"/>
      <c r="E419" s="39" t="s">
        <v>144</v>
      </c>
      <c r="F419" s="39"/>
      <c r="G419" s="39"/>
      <c r="H419" s="39"/>
      <c r="I419" s="30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>
        <f t="shared" si="42"/>
        <v>0</v>
      </c>
      <c r="W419" s="17"/>
    </row>
    <row r="420" spans="1:23" ht="75">
      <c r="A420" s="147"/>
      <c r="B420" s="134"/>
      <c r="C420" s="151"/>
      <c r="D420" s="148"/>
      <c r="E420" s="39" t="s">
        <v>239</v>
      </c>
      <c r="F420" s="39"/>
      <c r="G420" s="39"/>
      <c r="H420" s="39"/>
      <c r="I420" s="30">
        <v>91500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>
        <v>91500</v>
      </c>
      <c r="U420" s="17"/>
      <c r="V420" s="17">
        <f t="shared" si="42"/>
        <v>0</v>
      </c>
      <c r="W420" s="17"/>
    </row>
    <row r="421" spans="1:23" ht="56.25">
      <c r="A421" s="147"/>
      <c r="B421" s="133"/>
      <c r="C421" s="151"/>
      <c r="D421" s="148"/>
      <c r="E421" s="39" t="s">
        <v>240</v>
      </c>
      <c r="F421" s="39"/>
      <c r="G421" s="39"/>
      <c r="H421" s="39"/>
      <c r="I421" s="30">
        <v>380000</v>
      </c>
      <c r="J421" s="17"/>
      <c r="K421" s="17"/>
      <c r="L421" s="17"/>
      <c r="M421" s="17"/>
      <c r="N421" s="17"/>
      <c r="O421" s="17"/>
      <c r="P421" s="17"/>
      <c r="Q421" s="17"/>
      <c r="R421" s="17"/>
      <c r="S421" s="17">
        <v>380000</v>
      </c>
      <c r="T421" s="17"/>
      <c r="U421" s="17"/>
      <c r="V421" s="17">
        <f t="shared" si="42"/>
        <v>0</v>
      </c>
      <c r="W421" s="17"/>
    </row>
    <row r="422" spans="1:23" ht="18.75">
      <c r="A422" s="147" t="s">
        <v>402</v>
      </c>
      <c r="B422" s="132" t="s">
        <v>430</v>
      </c>
      <c r="C422" s="151" t="s">
        <v>681</v>
      </c>
      <c r="D422" s="148" t="s">
        <v>224</v>
      </c>
      <c r="E422" s="39"/>
      <c r="F422" s="39"/>
      <c r="G422" s="39"/>
      <c r="H422" s="39"/>
      <c r="I422" s="35">
        <f>SUM(I423:I424)</f>
        <v>1406000</v>
      </c>
      <c r="J422" s="35">
        <f aca="true" t="shared" si="63" ref="J422:W422">SUM(J423:J424)</f>
        <v>0</v>
      </c>
      <c r="K422" s="35">
        <f t="shared" si="63"/>
        <v>0</v>
      </c>
      <c r="L422" s="35">
        <f t="shared" si="63"/>
        <v>106000</v>
      </c>
      <c r="M422" s="35">
        <f t="shared" si="63"/>
        <v>0</v>
      </c>
      <c r="N422" s="35">
        <f t="shared" si="63"/>
        <v>0</v>
      </c>
      <c r="O422" s="35">
        <f t="shared" si="63"/>
        <v>0</v>
      </c>
      <c r="P422" s="35">
        <f t="shared" si="63"/>
        <v>0</v>
      </c>
      <c r="Q422" s="35">
        <f t="shared" si="63"/>
        <v>0</v>
      </c>
      <c r="R422" s="35">
        <f t="shared" si="63"/>
        <v>0</v>
      </c>
      <c r="S422" s="35">
        <f t="shared" si="63"/>
        <v>0</v>
      </c>
      <c r="T422" s="35">
        <f t="shared" si="63"/>
        <v>338400</v>
      </c>
      <c r="U422" s="35">
        <f t="shared" si="63"/>
        <v>961600</v>
      </c>
      <c r="V422" s="35">
        <f t="shared" si="63"/>
        <v>0</v>
      </c>
      <c r="W422" s="35">
        <f t="shared" si="63"/>
        <v>0</v>
      </c>
    </row>
    <row r="423" spans="1:23" ht="37.5">
      <c r="A423" s="147"/>
      <c r="B423" s="134"/>
      <c r="C423" s="151"/>
      <c r="D423" s="148"/>
      <c r="E423" s="39" t="s">
        <v>241</v>
      </c>
      <c r="F423" s="39"/>
      <c r="G423" s="39"/>
      <c r="H423" s="39"/>
      <c r="I423" s="30">
        <v>1300000</v>
      </c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>
        <v>338400</v>
      </c>
      <c r="U423" s="17">
        <v>961600</v>
      </c>
      <c r="V423" s="17">
        <f t="shared" si="42"/>
        <v>0</v>
      </c>
      <c r="W423" s="17"/>
    </row>
    <row r="424" spans="1:23" ht="195" customHeight="1">
      <c r="A424" s="147"/>
      <c r="B424" s="133"/>
      <c r="C424" s="151"/>
      <c r="D424" s="148"/>
      <c r="E424" s="39" t="s">
        <v>84</v>
      </c>
      <c r="F424" s="68">
        <f>I424</f>
        <v>106000</v>
      </c>
      <c r="G424" s="76">
        <v>1</v>
      </c>
      <c r="H424" s="68">
        <f>I424</f>
        <v>106000</v>
      </c>
      <c r="I424" s="30">
        <v>106000</v>
      </c>
      <c r="J424" s="17"/>
      <c r="K424" s="17"/>
      <c r="L424" s="17">
        <v>106000</v>
      </c>
      <c r="M424" s="17"/>
      <c r="N424" s="17"/>
      <c r="O424" s="17"/>
      <c r="P424" s="17"/>
      <c r="Q424" s="17"/>
      <c r="R424" s="17"/>
      <c r="S424" s="17"/>
      <c r="T424" s="17"/>
      <c r="U424" s="17"/>
      <c r="V424" s="17">
        <f t="shared" si="42"/>
        <v>0</v>
      </c>
      <c r="W424" s="17"/>
    </row>
    <row r="425" spans="1:23" ht="18.75">
      <c r="A425" s="132" t="s">
        <v>734</v>
      </c>
      <c r="B425" s="132" t="s">
        <v>85</v>
      </c>
      <c r="C425" s="132" t="s">
        <v>735</v>
      </c>
      <c r="D425" s="145" t="s">
        <v>736</v>
      </c>
      <c r="E425" s="39"/>
      <c r="F425" s="39"/>
      <c r="G425" s="39"/>
      <c r="H425" s="39"/>
      <c r="I425" s="19">
        <f>I426</f>
        <v>40000</v>
      </c>
      <c r="J425" s="19">
        <f aca="true" t="shared" si="64" ref="J425:W425">J426</f>
        <v>0</v>
      </c>
      <c r="K425" s="19">
        <f t="shared" si="64"/>
        <v>40000</v>
      </c>
      <c r="L425" s="19">
        <f t="shared" si="64"/>
        <v>0</v>
      </c>
      <c r="M425" s="19">
        <f t="shared" si="64"/>
        <v>0</v>
      </c>
      <c r="N425" s="19">
        <f t="shared" si="64"/>
        <v>0</v>
      </c>
      <c r="O425" s="19">
        <f t="shared" si="64"/>
        <v>0</v>
      </c>
      <c r="P425" s="19">
        <f t="shared" si="64"/>
        <v>0</v>
      </c>
      <c r="Q425" s="19">
        <f t="shared" si="64"/>
        <v>0</v>
      </c>
      <c r="R425" s="19">
        <f t="shared" si="64"/>
        <v>0</v>
      </c>
      <c r="S425" s="19">
        <f t="shared" si="64"/>
        <v>0</v>
      </c>
      <c r="T425" s="19">
        <f t="shared" si="64"/>
        <v>0</v>
      </c>
      <c r="U425" s="19">
        <f t="shared" si="64"/>
        <v>0</v>
      </c>
      <c r="V425" s="19">
        <f t="shared" si="64"/>
        <v>0</v>
      </c>
      <c r="W425" s="19">
        <f t="shared" si="64"/>
        <v>0</v>
      </c>
    </row>
    <row r="426" spans="1:23" ht="119.25" customHeight="1">
      <c r="A426" s="133"/>
      <c r="B426" s="133"/>
      <c r="C426" s="133"/>
      <c r="D426" s="135"/>
      <c r="E426" s="39" t="s">
        <v>407</v>
      </c>
      <c r="F426" s="39"/>
      <c r="G426" s="39"/>
      <c r="H426" s="39"/>
      <c r="I426" s="17">
        <v>40000</v>
      </c>
      <c r="J426" s="17"/>
      <c r="K426" s="17">
        <v>40000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>
        <f t="shared" si="42"/>
        <v>0</v>
      </c>
      <c r="W426" s="17"/>
    </row>
    <row r="427" spans="1:23" ht="18.75">
      <c r="A427" s="147" t="s">
        <v>349</v>
      </c>
      <c r="B427" s="132" t="s">
        <v>86</v>
      </c>
      <c r="C427" s="147" t="s">
        <v>242</v>
      </c>
      <c r="D427" s="148" t="s">
        <v>348</v>
      </c>
      <c r="E427" s="39"/>
      <c r="F427" s="39"/>
      <c r="G427" s="39"/>
      <c r="H427" s="39"/>
      <c r="I427" s="19">
        <f>SUM(I428:I442)</f>
        <v>3442600</v>
      </c>
      <c r="J427" s="19">
        <f aca="true" t="shared" si="65" ref="J427:W427">SUM(J428:J442)</f>
        <v>0</v>
      </c>
      <c r="K427" s="19">
        <f t="shared" si="65"/>
        <v>0</v>
      </c>
      <c r="L427" s="19">
        <f t="shared" si="65"/>
        <v>894000</v>
      </c>
      <c r="M427" s="19">
        <f t="shared" si="65"/>
        <v>105000</v>
      </c>
      <c r="N427" s="19">
        <f t="shared" si="65"/>
        <v>150000</v>
      </c>
      <c r="O427" s="19">
        <f t="shared" si="65"/>
        <v>115000</v>
      </c>
      <c r="P427" s="19">
        <f t="shared" si="65"/>
        <v>685000</v>
      </c>
      <c r="Q427" s="19">
        <f t="shared" si="65"/>
        <v>715000</v>
      </c>
      <c r="R427" s="19">
        <f t="shared" si="65"/>
        <v>253500</v>
      </c>
      <c r="S427" s="19">
        <f t="shared" si="65"/>
        <v>50000</v>
      </c>
      <c r="T427" s="19">
        <f t="shared" si="65"/>
        <v>475100</v>
      </c>
      <c r="U427" s="19">
        <f t="shared" si="65"/>
        <v>0</v>
      </c>
      <c r="V427" s="19">
        <f t="shared" si="65"/>
        <v>0</v>
      </c>
      <c r="W427" s="19">
        <f t="shared" si="65"/>
        <v>279225</v>
      </c>
    </row>
    <row r="428" spans="1:23" ht="117.75" customHeight="1">
      <c r="A428" s="147"/>
      <c r="B428" s="134"/>
      <c r="C428" s="147"/>
      <c r="D428" s="148"/>
      <c r="E428" s="39" t="s">
        <v>243</v>
      </c>
      <c r="F428" s="39"/>
      <c r="G428" s="39"/>
      <c r="H428" s="39"/>
      <c r="I428" s="30">
        <v>61000</v>
      </c>
      <c r="J428" s="17"/>
      <c r="K428" s="17"/>
      <c r="L428" s="17"/>
      <c r="M428" s="17"/>
      <c r="N428" s="17"/>
      <c r="O428" s="17"/>
      <c r="P428" s="17"/>
      <c r="Q428" s="17"/>
      <c r="R428" s="17">
        <v>45900</v>
      </c>
      <c r="S428" s="17">
        <v>15100</v>
      </c>
      <c r="T428" s="17"/>
      <c r="U428" s="17"/>
      <c r="V428" s="17">
        <f t="shared" si="42"/>
        <v>0</v>
      </c>
      <c r="W428" s="17"/>
    </row>
    <row r="429" spans="1:23" ht="93.75">
      <c r="A429" s="147"/>
      <c r="B429" s="134"/>
      <c r="C429" s="147"/>
      <c r="D429" s="148"/>
      <c r="E429" s="39" t="s">
        <v>244</v>
      </c>
      <c r="F429" s="39"/>
      <c r="G429" s="39"/>
      <c r="H429" s="39"/>
      <c r="I429" s="30">
        <v>19000</v>
      </c>
      <c r="J429" s="17"/>
      <c r="K429" s="17"/>
      <c r="L429" s="17">
        <v>19000</v>
      </c>
      <c r="M429" s="17"/>
      <c r="N429" s="17"/>
      <c r="O429" s="17"/>
      <c r="P429" s="17"/>
      <c r="Q429" s="17"/>
      <c r="R429" s="17"/>
      <c r="S429" s="17"/>
      <c r="T429" s="17"/>
      <c r="U429" s="17"/>
      <c r="V429" s="17">
        <f t="shared" si="42"/>
        <v>0</v>
      </c>
      <c r="W429" s="17">
        <v>18700</v>
      </c>
    </row>
    <row r="430" spans="1:23" ht="93.75">
      <c r="A430" s="147"/>
      <c r="B430" s="134"/>
      <c r="C430" s="147"/>
      <c r="D430" s="148"/>
      <c r="E430" s="39" t="s">
        <v>245</v>
      </c>
      <c r="F430" s="39"/>
      <c r="G430" s="39"/>
      <c r="H430" s="39"/>
      <c r="I430" s="30">
        <v>18000</v>
      </c>
      <c r="J430" s="17"/>
      <c r="K430" s="17"/>
      <c r="L430" s="17">
        <v>18000</v>
      </c>
      <c r="M430" s="17"/>
      <c r="N430" s="17"/>
      <c r="O430" s="17"/>
      <c r="P430" s="17"/>
      <c r="Q430" s="17"/>
      <c r="R430" s="17"/>
      <c r="S430" s="17"/>
      <c r="T430" s="17"/>
      <c r="U430" s="17"/>
      <c r="V430" s="17">
        <f t="shared" si="42"/>
        <v>0</v>
      </c>
      <c r="W430" s="17">
        <v>17950</v>
      </c>
    </row>
    <row r="431" spans="1:23" ht="97.5" customHeight="1">
      <c r="A431" s="147"/>
      <c r="B431" s="134"/>
      <c r="C431" s="147"/>
      <c r="D431" s="148"/>
      <c r="E431" s="39" t="s">
        <v>958</v>
      </c>
      <c r="F431" s="39"/>
      <c r="G431" s="39"/>
      <c r="H431" s="39"/>
      <c r="I431" s="30">
        <v>18000</v>
      </c>
      <c r="J431" s="17"/>
      <c r="K431" s="17"/>
      <c r="L431" s="17">
        <v>18000</v>
      </c>
      <c r="M431" s="17"/>
      <c r="N431" s="17"/>
      <c r="O431" s="17"/>
      <c r="P431" s="17"/>
      <c r="Q431" s="17"/>
      <c r="R431" s="17"/>
      <c r="S431" s="17"/>
      <c r="T431" s="17"/>
      <c r="U431" s="17"/>
      <c r="V431" s="17">
        <f t="shared" si="42"/>
        <v>0</v>
      </c>
      <c r="W431" s="17">
        <v>18000</v>
      </c>
    </row>
    <row r="432" spans="1:23" ht="115.5" customHeight="1">
      <c r="A432" s="147"/>
      <c r="B432" s="134"/>
      <c r="C432" s="147"/>
      <c r="D432" s="148"/>
      <c r="E432" s="39" t="s">
        <v>959</v>
      </c>
      <c r="F432" s="39"/>
      <c r="G432" s="39"/>
      <c r="H432" s="39"/>
      <c r="I432" s="30">
        <v>75000</v>
      </c>
      <c r="J432" s="17"/>
      <c r="K432" s="17"/>
      <c r="L432" s="17"/>
      <c r="M432" s="17"/>
      <c r="N432" s="17"/>
      <c r="O432" s="17"/>
      <c r="P432" s="17"/>
      <c r="Q432" s="17"/>
      <c r="R432" s="17"/>
      <c r="S432" s="17">
        <v>34900</v>
      </c>
      <c r="T432" s="17">
        <v>40100</v>
      </c>
      <c r="U432" s="17"/>
      <c r="V432" s="17">
        <f t="shared" si="42"/>
        <v>0</v>
      </c>
      <c r="W432" s="17"/>
    </row>
    <row r="433" spans="1:23" ht="93.75">
      <c r="A433" s="147"/>
      <c r="B433" s="134"/>
      <c r="C433" s="147"/>
      <c r="D433" s="148"/>
      <c r="E433" s="39" t="s">
        <v>960</v>
      </c>
      <c r="F433" s="39"/>
      <c r="G433" s="39"/>
      <c r="H433" s="39"/>
      <c r="I433" s="30">
        <v>45000</v>
      </c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>
        <v>45000</v>
      </c>
      <c r="U433" s="17"/>
      <c r="V433" s="17">
        <f t="shared" si="42"/>
        <v>0</v>
      </c>
      <c r="W433" s="17"/>
    </row>
    <row r="434" spans="1:23" ht="112.5">
      <c r="A434" s="147"/>
      <c r="B434" s="134"/>
      <c r="C434" s="147"/>
      <c r="D434" s="148"/>
      <c r="E434" s="39" t="s">
        <v>961</v>
      </c>
      <c r="F434" s="39"/>
      <c r="G434" s="39"/>
      <c r="H434" s="39"/>
      <c r="I434" s="30">
        <v>256200</v>
      </c>
      <c r="J434" s="17"/>
      <c r="K434" s="17"/>
      <c r="L434" s="17">
        <v>256200</v>
      </c>
      <c r="M434" s="17"/>
      <c r="N434" s="17"/>
      <c r="O434" s="17"/>
      <c r="P434" s="17"/>
      <c r="Q434" s="17"/>
      <c r="R434" s="17"/>
      <c r="S434" s="17"/>
      <c r="T434" s="17"/>
      <c r="U434" s="17"/>
      <c r="V434" s="17">
        <f aca="true" t="shared" si="66" ref="V434:V510">I434-J434-K434-L434-M434-N434-O434-P434-Q434-R434-S434-T434-U434</f>
        <v>0</v>
      </c>
      <c r="W434" s="17">
        <v>224575</v>
      </c>
    </row>
    <row r="435" spans="1:23" ht="112.5">
      <c r="A435" s="147"/>
      <c r="B435" s="134"/>
      <c r="C435" s="147"/>
      <c r="D435" s="148"/>
      <c r="E435" s="39" t="s">
        <v>962</v>
      </c>
      <c r="F435" s="39"/>
      <c r="G435" s="39"/>
      <c r="H435" s="39"/>
      <c r="I435" s="30">
        <v>195000</v>
      </c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>
        <v>195000</v>
      </c>
      <c r="U435" s="17"/>
      <c r="V435" s="17">
        <f t="shared" si="66"/>
        <v>0</v>
      </c>
      <c r="W435" s="17"/>
    </row>
    <row r="436" spans="1:23" ht="102.75" customHeight="1">
      <c r="A436" s="147"/>
      <c r="B436" s="134"/>
      <c r="C436" s="147"/>
      <c r="D436" s="148"/>
      <c r="E436" s="39" t="s">
        <v>227</v>
      </c>
      <c r="F436" s="39"/>
      <c r="G436" s="39"/>
      <c r="H436" s="39"/>
      <c r="I436" s="30">
        <v>195000</v>
      </c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>
        <v>195000</v>
      </c>
      <c r="U436" s="17"/>
      <c r="V436" s="17">
        <f t="shared" si="66"/>
        <v>0</v>
      </c>
      <c r="W436" s="17"/>
    </row>
    <row r="437" spans="1:23" ht="54" hidden="1">
      <c r="A437" s="147"/>
      <c r="B437" s="134"/>
      <c r="C437" s="147"/>
      <c r="D437" s="148"/>
      <c r="E437" s="39" t="s">
        <v>948</v>
      </c>
      <c r="F437" s="39"/>
      <c r="G437" s="39"/>
      <c r="H437" s="39"/>
      <c r="I437" s="30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>
        <f t="shared" si="66"/>
        <v>0</v>
      </c>
      <c r="W437" s="17"/>
    </row>
    <row r="438" spans="1:23" ht="36" hidden="1">
      <c r="A438" s="147"/>
      <c r="B438" s="134"/>
      <c r="C438" s="147"/>
      <c r="D438" s="148"/>
      <c r="E438" s="39" t="s">
        <v>956</v>
      </c>
      <c r="F438" s="39"/>
      <c r="G438" s="39"/>
      <c r="H438" s="39"/>
      <c r="I438" s="30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>
        <f t="shared" si="66"/>
        <v>0</v>
      </c>
      <c r="W438" s="17"/>
    </row>
    <row r="439" spans="1:23" ht="99.75" customHeight="1">
      <c r="A439" s="147"/>
      <c r="B439" s="134"/>
      <c r="C439" s="147"/>
      <c r="D439" s="148"/>
      <c r="E439" s="39" t="s">
        <v>1079</v>
      </c>
      <c r="F439" s="68">
        <f>I439</f>
        <v>1143800</v>
      </c>
      <c r="G439" s="76">
        <v>1</v>
      </c>
      <c r="H439" s="68">
        <f>I439</f>
        <v>1143800</v>
      </c>
      <c r="I439" s="30">
        <v>1143800</v>
      </c>
      <c r="J439" s="17"/>
      <c r="K439" s="17"/>
      <c r="L439" s="17">
        <v>582800</v>
      </c>
      <c r="M439" s="17">
        <v>105000</v>
      </c>
      <c r="N439" s="17">
        <v>150000</v>
      </c>
      <c r="O439" s="17">
        <v>115000</v>
      </c>
      <c r="P439" s="17">
        <v>191000</v>
      </c>
      <c r="Q439" s="17"/>
      <c r="R439" s="17"/>
      <c r="S439" s="17"/>
      <c r="T439" s="17"/>
      <c r="U439" s="17"/>
      <c r="V439" s="17">
        <f t="shared" si="66"/>
        <v>0</v>
      </c>
      <c r="W439" s="17"/>
    </row>
    <row r="440" spans="1:23" ht="135.75" customHeight="1">
      <c r="A440" s="147"/>
      <c r="B440" s="134"/>
      <c r="C440" s="147"/>
      <c r="D440" s="148"/>
      <c r="E440" s="39" t="s">
        <v>1080</v>
      </c>
      <c r="F440" s="68">
        <f>I440</f>
        <v>998000</v>
      </c>
      <c r="G440" s="76">
        <v>1</v>
      </c>
      <c r="H440" s="68">
        <f>I440</f>
        <v>998000</v>
      </c>
      <c r="I440" s="30">
        <v>998000</v>
      </c>
      <c r="J440" s="17"/>
      <c r="K440" s="17"/>
      <c r="L440" s="17"/>
      <c r="M440" s="17"/>
      <c r="N440" s="17"/>
      <c r="O440" s="17"/>
      <c r="P440" s="17">
        <v>300000</v>
      </c>
      <c r="Q440" s="17">
        <v>589000</v>
      </c>
      <c r="R440" s="17">
        <v>109000</v>
      </c>
      <c r="S440" s="17"/>
      <c r="T440" s="17"/>
      <c r="U440" s="17"/>
      <c r="V440" s="17">
        <f t="shared" si="66"/>
        <v>0</v>
      </c>
      <c r="W440" s="17"/>
    </row>
    <row r="441" spans="1:23" ht="135.75" customHeight="1">
      <c r="A441" s="147"/>
      <c r="B441" s="134"/>
      <c r="C441" s="147"/>
      <c r="D441" s="148"/>
      <c r="E441" s="39" t="s">
        <v>499</v>
      </c>
      <c r="F441" s="68">
        <f>I441</f>
        <v>98600</v>
      </c>
      <c r="G441" s="76">
        <v>1</v>
      </c>
      <c r="H441" s="68">
        <f>I441</f>
        <v>98600</v>
      </c>
      <c r="I441" s="30">
        <v>98600</v>
      </c>
      <c r="J441" s="17"/>
      <c r="K441" s="17"/>
      <c r="L441" s="17"/>
      <c r="M441" s="17"/>
      <c r="N441" s="17"/>
      <c r="O441" s="17"/>
      <c r="P441" s="17"/>
      <c r="Q441" s="17"/>
      <c r="R441" s="17">
        <v>98600</v>
      </c>
      <c r="S441" s="17"/>
      <c r="T441" s="17"/>
      <c r="U441" s="17"/>
      <c r="V441" s="17">
        <f t="shared" si="66"/>
        <v>0</v>
      </c>
      <c r="W441" s="17"/>
    </row>
    <row r="442" spans="1:23" ht="136.5" customHeight="1">
      <c r="A442" s="147"/>
      <c r="B442" s="133"/>
      <c r="C442" s="147"/>
      <c r="D442" s="148"/>
      <c r="E442" s="39" t="s">
        <v>500</v>
      </c>
      <c r="F442" s="68">
        <f>I442</f>
        <v>320000</v>
      </c>
      <c r="G442" s="76">
        <v>1</v>
      </c>
      <c r="H442" s="68">
        <f>I442</f>
        <v>320000</v>
      </c>
      <c r="I442" s="30">
        <v>320000</v>
      </c>
      <c r="J442" s="17"/>
      <c r="K442" s="17"/>
      <c r="L442" s="17"/>
      <c r="M442" s="17"/>
      <c r="N442" s="17"/>
      <c r="O442" s="17"/>
      <c r="P442" s="17">
        <v>194000</v>
      </c>
      <c r="Q442" s="17">
        <v>126000</v>
      </c>
      <c r="R442" s="17"/>
      <c r="S442" s="17"/>
      <c r="T442" s="17"/>
      <c r="U442" s="17"/>
      <c r="V442" s="17">
        <f t="shared" si="66"/>
        <v>0</v>
      </c>
      <c r="W442" s="17"/>
    </row>
    <row r="443" spans="1:23" ht="37.5">
      <c r="A443" s="23" t="s">
        <v>350</v>
      </c>
      <c r="B443" s="176"/>
      <c r="C443" s="176"/>
      <c r="D443" s="18" t="s">
        <v>351</v>
      </c>
      <c r="E443" s="39"/>
      <c r="F443" s="39"/>
      <c r="G443" s="39"/>
      <c r="H443" s="39"/>
      <c r="I443" s="35">
        <f>I445</f>
        <v>105000</v>
      </c>
      <c r="J443" s="35">
        <f aca="true" t="shared" si="67" ref="J443:U443">J445</f>
        <v>0</v>
      </c>
      <c r="K443" s="35">
        <f t="shared" si="67"/>
        <v>0</v>
      </c>
      <c r="L443" s="35">
        <f t="shared" si="67"/>
        <v>0</v>
      </c>
      <c r="M443" s="35">
        <f t="shared" si="67"/>
        <v>15000</v>
      </c>
      <c r="N443" s="35">
        <f t="shared" si="67"/>
        <v>15000</v>
      </c>
      <c r="O443" s="35">
        <f t="shared" si="67"/>
        <v>25000</v>
      </c>
      <c r="P443" s="35">
        <f t="shared" si="67"/>
        <v>0</v>
      </c>
      <c r="Q443" s="35">
        <f t="shared" si="67"/>
        <v>30000</v>
      </c>
      <c r="R443" s="35">
        <f t="shared" si="67"/>
        <v>20000</v>
      </c>
      <c r="S443" s="35">
        <f t="shared" si="67"/>
        <v>0</v>
      </c>
      <c r="T443" s="35">
        <f t="shared" si="67"/>
        <v>0</v>
      </c>
      <c r="U443" s="35">
        <f t="shared" si="67"/>
        <v>0</v>
      </c>
      <c r="V443" s="35">
        <f>V445</f>
        <v>0</v>
      </c>
      <c r="W443" s="35">
        <f>W445</f>
        <v>0</v>
      </c>
    </row>
    <row r="444" spans="1:23" ht="37.5">
      <c r="A444" s="23" t="s">
        <v>352</v>
      </c>
      <c r="B444" s="176"/>
      <c r="C444" s="176"/>
      <c r="D444" s="18" t="s">
        <v>351</v>
      </c>
      <c r="E444" s="39"/>
      <c r="F444" s="39"/>
      <c r="G444" s="39"/>
      <c r="H444" s="39"/>
      <c r="I444" s="35">
        <f>I443</f>
        <v>105000</v>
      </c>
      <c r="J444" s="35">
        <f aca="true" t="shared" si="68" ref="J444:U444">J443</f>
        <v>0</v>
      </c>
      <c r="K444" s="35">
        <f t="shared" si="68"/>
        <v>0</v>
      </c>
      <c r="L444" s="35">
        <f t="shared" si="68"/>
        <v>0</v>
      </c>
      <c r="M444" s="35">
        <f t="shared" si="68"/>
        <v>15000</v>
      </c>
      <c r="N444" s="35">
        <f t="shared" si="68"/>
        <v>15000</v>
      </c>
      <c r="O444" s="35">
        <f t="shared" si="68"/>
        <v>25000</v>
      </c>
      <c r="P444" s="35">
        <f t="shared" si="68"/>
        <v>0</v>
      </c>
      <c r="Q444" s="35">
        <f t="shared" si="68"/>
        <v>30000</v>
      </c>
      <c r="R444" s="35">
        <f t="shared" si="68"/>
        <v>20000</v>
      </c>
      <c r="S444" s="35">
        <f t="shared" si="68"/>
        <v>0</v>
      </c>
      <c r="T444" s="35">
        <f t="shared" si="68"/>
        <v>0</v>
      </c>
      <c r="U444" s="35">
        <f t="shared" si="68"/>
        <v>0</v>
      </c>
      <c r="V444" s="35">
        <f>V443</f>
        <v>0</v>
      </c>
      <c r="W444" s="35">
        <f>W443</f>
        <v>0</v>
      </c>
    </row>
    <row r="445" spans="1:23" ht="18.75">
      <c r="A445" s="147" t="s">
        <v>353</v>
      </c>
      <c r="B445" s="132" t="s">
        <v>677</v>
      </c>
      <c r="C445" s="147" t="s">
        <v>676</v>
      </c>
      <c r="D445" s="148" t="s">
        <v>868</v>
      </c>
      <c r="E445" s="39"/>
      <c r="F445" s="39"/>
      <c r="G445" s="39"/>
      <c r="H445" s="39"/>
      <c r="I445" s="35">
        <f>I446</f>
        <v>105000</v>
      </c>
      <c r="J445" s="35">
        <f aca="true" t="shared" si="69" ref="J445:W445">J446</f>
        <v>0</v>
      </c>
      <c r="K445" s="35">
        <f t="shared" si="69"/>
        <v>0</v>
      </c>
      <c r="L445" s="35">
        <f t="shared" si="69"/>
        <v>0</v>
      </c>
      <c r="M445" s="35">
        <f t="shared" si="69"/>
        <v>15000</v>
      </c>
      <c r="N445" s="35">
        <f t="shared" si="69"/>
        <v>15000</v>
      </c>
      <c r="O445" s="35">
        <f t="shared" si="69"/>
        <v>25000</v>
      </c>
      <c r="P445" s="35">
        <f t="shared" si="69"/>
        <v>0</v>
      </c>
      <c r="Q445" s="35">
        <f t="shared" si="69"/>
        <v>30000</v>
      </c>
      <c r="R445" s="35">
        <f t="shared" si="69"/>
        <v>20000</v>
      </c>
      <c r="S445" s="35">
        <f t="shared" si="69"/>
        <v>0</v>
      </c>
      <c r="T445" s="35">
        <f t="shared" si="69"/>
        <v>0</v>
      </c>
      <c r="U445" s="35">
        <f t="shared" si="69"/>
        <v>0</v>
      </c>
      <c r="V445" s="35">
        <f t="shared" si="69"/>
        <v>0</v>
      </c>
      <c r="W445" s="35">
        <f t="shared" si="69"/>
        <v>0</v>
      </c>
    </row>
    <row r="446" spans="1:23" ht="78.75" customHeight="1">
      <c r="A446" s="147"/>
      <c r="B446" s="133"/>
      <c r="C446" s="147"/>
      <c r="D446" s="148"/>
      <c r="E446" s="39" t="s">
        <v>501</v>
      </c>
      <c r="F446" s="39"/>
      <c r="G446" s="39"/>
      <c r="H446" s="39"/>
      <c r="I446" s="30">
        <v>105000</v>
      </c>
      <c r="J446" s="17"/>
      <c r="K446" s="17"/>
      <c r="L446" s="17"/>
      <c r="M446" s="17">
        <v>15000</v>
      </c>
      <c r="N446" s="17">
        <v>15000</v>
      </c>
      <c r="O446" s="17">
        <v>25000</v>
      </c>
      <c r="P446" s="17"/>
      <c r="Q446" s="17">
        <v>30000</v>
      </c>
      <c r="R446" s="17">
        <v>20000</v>
      </c>
      <c r="S446" s="17"/>
      <c r="T446" s="17"/>
      <c r="U446" s="17"/>
      <c r="V446" s="17">
        <f t="shared" si="66"/>
        <v>0</v>
      </c>
      <c r="W446" s="17"/>
    </row>
    <row r="447" spans="1:23" ht="43.5" customHeight="1">
      <c r="A447" s="54" t="s">
        <v>476</v>
      </c>
      <c r="B447" s="125"/>
      <c r="C447" s="126"/>
      <c r="D447" s="175" t="s">
        <v>528</v>
      </c>
      <c r="E447" s="57"/>
      <c r="F447" s="17"/>
      <c r="G447" s="82"/>
      <c r="H447" s="17"/>
      <c r="I447" s="19">
        <f>I448</f>
        <v>216125765.07999998</v>
      </c>
      <c r="J447" s="19">
        <f aca="true" t="shared" si="70" ref="J447:W447">J448</f>
        <v>0</v>
      </c>
      <c r="K447" s="19">
        <f t="shared" si="70"/>
        <v>3674742</v>
      </c>
      <c r="L447" s="19">
        <f t="shared" si="70"/>
        <v>36633535.120000005</v>
      </c>
      <c r="M447" s="19">
        <f t="shared" si="70"/>
        <v>22784352</v>
      </c>
      <c r="N447" s="19">
        <f t="shared" si="70"/>
        <v>3604786</v>
      </c>
      <c r="O447" s="19">
        <f t="shared" si="70"/>
        <v>12756346.309999999</v>
      </c>
      <c r="P447" s="19">
        <f t="shared" si="70"/>
        <v>25760476.79</v>
      </c>
      <c r="Q447" s="19">
        <f t="shared" si="70"/>
        <v>22119778.22</v>
      </c>
      <c r="R447" s="19">
        <f t="shared" si="70"/>
        <v>13614620.34</v>
      </c>
      <c r="S447" s="19">
        <f t="shared" si="70"/>
        <v>19174755.98</v>
      </c>
      <c r="T447" s="19">
        <f t="shared" si="70"/>
        <v>25366906</v>
      </c>
      <c r="U447" s="19">
        <f t="shared" si="70"/>
        <v>30635466.32</v>
      </c>
      <c r="V447" s="19">
        <f t="shared" si="70"/>
        <v>-1.025910023599863E-09</v>
      </c>
      <c r="W447" s="19">
        <f t="shared" si="70"/>
        <v>58184317.550000004</v>
      </c>
    </row>
    <row r="448" spans="1:23" ht="44.25" customHeight="1">
      <c r="A448" s="54" t="s">
        <v>477</v>
      </c>
      <c r="B448" s="125"/>
      <c r="C448" s="141"/>
      <c r="D448" s="175" t="s">
        <v>528</v>
      </c>
      <c r="E448" s="57"/>
      <c r="F448" s="17"/>
      <c r="G448" s="82"/>
      <c r="H448" s="17"/>
      <c r="I448" s="19">
        <f aca="true" t="shared" si="71" ref="I448:W448">I449+I505+I507+I575+I578+I702+I881+I883</f>
        <v>216125765.07999998</v>
      </c>
      <c r="J448" s="19">
        <f t="shared" si="71"/>
        <v>0</v>
      </c>
      <c r="K448" s="19">
        <f t="shared" si="71"/>
        <v>3674742</v>
      </c>
      <c r="L448" s="19">
        <f t="shared" si="71"/>
        <v>36633535.120000005</v>
      </c>
      <c r="M448" s="19">
        <f t="shared" si="71"/>
        <v>22784352</v>
      </c>
      <c r="N448" s="19">
        <f t="shared" si="71"/>
        <v>3604786</v>
      </c>
      <c r="O448" s="19">
        <f t="shared" si="71"/>
        <v>12756346.309999999</v>
      </c>
      <c r="P448" s="19">
        <f t="shared" si="71"/>
        <v>25760476.79</v>
      </c>
      <c r="Q448" s="19">
        <f t="shared" si="71"/>
        <v>22119778.22</v>
      </c>
      <c r="R448" s="19">
        <f t="shared" si="71"/>
        <v>13614620.34</v>
      </c>
      <c r="S448" s="19">
        <f t="shared" si="71"/>
        <v>19174755.98</v>
      </c>
      <c r="T448" s="19">
        <f t="shared" si="71"/>
        <v>25366906</v>
      </c>
      <c r="U448" s="19">
        <f t="shared" si="71"/>
        <v>30635466.32</v>
      </c>
      <c r="V448" s="19">
        <f t="shared" si="71"/>
        <v>-1.025910023599863E-09</v>
      </c>
      <c r="W448" s="19">
        <f t="shared" si="71"/>
        <v>58184317.550000004</v>
      </c>
    </row>
    <row r="449" spans="1:23" ht="18.75" customHeight="1">
      <c r="A449" s="132" t="s">
        <v>931</v>
      </c>
      <c r="B449" s="132" t="s">
        <v>930</v>
      </c>
      <c r="C449" s="132" t="s">
        <v>116</v>
      </c>
      <c r="D449" s="145" t="s">
        <v>929</v>
      </c>
      <c r="E449" s="39"/>
      <c r="F449" s="39"/>
      <c r="G449" s="39"/>
      <c r="H449" s="39"/>
      <c r="I449" s="19">
        <f>SUM(I450:I504)</f>
        <v>13282910</v>
      </c>
      <c r="J449" s="19">
        <f aca="true" t="shared" si="72" ref="J449:U449">SUM(J450:J504)</f>
        <v>0</v>
      </c>
      <c r="K449" s="19">
        <f t="shared" si="72"/>
        <v>0</v>
      </c>
      <c r="L449" s="19">
        <f t="shared" si="72"/>
        <v>1031395.12</v>
      </c>
      <c r="M449" s="19">
        <f t="shared" si="72"/>
        <v>550000</v>
      </c>
      <c r="N449" s="19">
        <f t="shared" si="72"/>
        <v>833570</v>
      </c>
      <c r="O449" s="19">
        <f t="shared" si="72"/>
        <v>259500</v>
      </c>
      <c r="P449" s="19">
        <f t="shared" si="72"/>
        <v>556000</v>
      </c>
      <c r="Q449" s="19">
        <f t="shared" si="72"/>
        <v>2587095.88</v>
      </c>
      <c r="R449" s="19">
        <f t="shared" si="72"/>
        <v>3022046</v>
      </c>
      <c r="S449" s="19">
        <f t="shared" si="72"/>
        <v>3061303</v>
      </c>
      <c r="T449" s="19">
        <f t="shared" si="72"/>
        <v>807000</v>
      </c>
      <c r="U449" s="19">
        <f t="shared" si="72"/>
        <v>575000</v>
      </c>
      <c r="V449" s="19">
        <f>SUM(V450:V504)</f>
        <v>0</v>
      </c>
      <c r="W449" s="19">
        <f>SUM(W450:W504)</f>
        <v>2179315.7200000007</v>
      </c>
    </row>
    <row r="450" spans="1:23" ht="135.75" customHeight="1">
      <c r="A450" s="134"/>
      <c r="B450" s="134"/>
      <c r="C450" s="134"/>
      <c r="D450" s="146"/>
      <c r="E450" s="36" t="s">
        <v>795</v>
      </c>
      <c r="F450" s="68">
        <f>I450</f>
        <v>2930000</v>
      </c>
      <c r="G450" s="76">
        <v>1</v>
      </c>
      <c r="H450" s="68">
        <f aca="true" t="shared" si="73" ref="H450:H537">I450</f>
        <v>2930000</v>
      </c>
      <c r="I450" s="30">
        <f>4530000-1600000</f>
        <v>2930000</v>
      </c>
      <c r="J450" s="116"/>
      <c r="K450" s="116"/>
      <c r="L450" s="116">
        <f>750000-20000</f>
        <v>730000</v>
      </c>
      <c r="M450" s="116">
        <v>550000</v>
      </c>
      <c r="N450" s="116">
        <f>550000-55000</f>
        <v>495000</v>
      </c>
      <c r="O450" s="116"/>
      <c r="P450" s="116"/>
      <c r="Q450" s="116">
        <f>20000+10000</f>
        <v>30000</v>
      </c>
      <c r="R450" s="116"/>
      <c r="S450" s="116"/>
      <c r="T450" s="116">
        <v>550000</v>
      </c>
      <c r="U450" s="116">
        <f>530000+45000</f>
        <v>575000</v>
      </c>
      <c r="V450" s="17">
        <f t="shared" si="66"/>
        <v>0</v>
      </c>
      <c r="W450" s="17">
        <f>200937.6+366000+257196+363000+10861+273900+91268.4</f>
        <v>1563163</v>
      </c>
    </row>
    <row r="451" spans="1:23" ht="36" hidden="1">
      <c r="A451" s="134"/>
      <c r="B451" s="134"/>
      <c r="C451" s="134"/>
      <c r="D451" s="146"/>
      <c r="E451" s="16" t="s">
        <v>439</v>
      </c>
      <c r="F451" s="68">
        <f aca="true" t="shared" si="74" ref="F451:F504">I451</f>
        <v>0</v>
      </c>
      <c r="G451" s="76">
        <v>1</v>
      </c>
      <c r="H451" s="68">
        <f t="shared" si="73"/>
        <v>0</v>
      </c>
      <c r="I451" s="24">
        <f>60000-60000</f>
        <v>0</v>
      </c>
      <c r="J451" s="116"/>
      <c r="K451" s="116"/>
      <c r="L451" s="116"/>
      <c r="M451" s="116"/>
      <c r="N451" s="116"/>
      <c r="O451" s="116"/>
      <c r="P451" s="116"/>
      <c r="Q451" s="116">
        <f>6000-6000</f>
        <v>0</v>
      </c>
      <c r="R451" s="116">
        <f>36000-36000</f>
        <v>0</v>
      </c>
      <c r="S451" s="116">
        <f>18000-18000</f>
        <v>0</v>
      </c>
      <c r="T451" s="116"/>
      <c r="U451" s="116"/>
      <c r="V451" s="17">
        <f t="shared" si="66"/>
        <v>0</v>
      </c>
      <c r="W451" s="17"/>
    </row>
    <row r="452" spans="1:23" ht="36" hidden="1">
      <c r="A452" s="134"/>
      <c r="B452" s="134"/>
      <c r="C452" s="134"/>
      <c r="D452" s="146"/>
      <c r="E452" s="16" t="s">
        <v>440</v>
      </c>
      <c r="F452" s="68">
        <f t="shared" si="74"/>
        <v>0</v>
      </c>
      <c r="G452" s="76">
        <v>1</v>
      </c>
      <c r="H452" s="68">
        <f t="shared" si="73"/>
        <v>0</v>
      </c>
      <c r="I452" s="24">
        <f>60000-60000</f>
        <v>0</v>
      </c>
      <c r="J452" s="116"/>
      <c r="K452" s="116"/>
      <c r="L452" s="116"/>
      <c r="M452" s="116"/>
      <c r="N452" s="116"/>
      <c r="O452" s="116"/>
      <c r="P452" s="116"/>
      <c r="Q452" s="116">
        <f>6000-6000</f>
        <v>0</v>
      </c>
      <c r="R452" s="116">
        <f>36000-36000</f>
        <v>0</v>
      </c>
      <c r="S452" s="116">
        <f>18000-18000</f>
        <v>0</v>
      </c>
      <c r="T452" s="116"/>
      <c r="U452" s="116"/>
      <c r="V452" s="17">
        <f t="shared" si="66"/>
        <v>0</v>
      </c>
      <c r="W452" s="17"/>
    </row>
    <row r="453" spans="1:23" ht="56.25">
      <c r="A453" s="134"/>
      <c r="B453" s="134"/>
      <c r="C453" s="134"/>
      <c r="D453" s="146"/>
      <c r="E453" s="16" t="s">
        <v>1097</v>
      </c>
      <c r="F453" s="68"/>
      <c r="G453" s="76"/>
      <c r="H453" s="68"/>
      <c r="I453" s="24">
        <v>100000</v>
      </c>
      <c r="J453" s="116"/>
      <c r="K453" s="116"/>
      <c r="L453" s="116"/>
      <c r="M453" s="116"/>
      <c r="N453" s="116"/>
      <c r="O453" s="116"/>
      <c r="P453" s="116">
        <v>10000</v>
      </c>
      <c r="Q453" s="116"/>
      <c r="R453" s="116">
        <v>60000</v>
      </c>
      <c r="S453" s="116">
        <v>30000</v>
      </c>
      <c r="T453" s="116"/>
      <c r="U453" s="116"/>
      <c r="V453" s="17">
        <f t="shared" si="66"/>
        <v>0</v>
      </c>
      <c r="W453" s="17"/>
    </row>
    <row r="454" spans="1:23" ht="56.25">
      <c r="A454" s="134"/>
      <c r="B454" s="134"/>
      <c r="C454" s="134"/>
      <c r="D454" s="146"/>
      <c r="E454" s="16" t="s">
        <v>1098</v>
      </c>
      <c r="F454" s="68"/>
      <c r="G454" s="76"/>
      <c r="H454" s="68"/>
      <c r="I454" s="24">
        <v>100000</v>
      </c>
      <c r="J454" s="116"/>
      <c r="K454" s="116"/>
      <c r="L454" s="116"/>
      <c r="M454" s="116"/>
      <c r="N454" s="116"/>
      <c r="O454" s="116"/>
      <c r="P454" s="116">
        <v>10000</v>
      </c>
      <c r="Q454" s="116"/>
      <c r="R454" s="116">
        <v>60000</v>
      </c>
      <c r="S454" s="116">
        <v>30000</v>
      </c>
      <c r="T454" s="116"/>
      <c r="U454" s="116"/>
      <c r="V454" s="17">
        <f t="shared" si="66"/>
        <v>0</v>
      </c>
      <c r="W454" s="17"/>
    </row>
    <row r="455" spans="1:23" ht="56.25">
      <c r="A455" s="134"/>
      <c r="B455" s="134"/>
      <c r="C455" s="134"/>
      <c r="D455" s="146"/>
      <c r="E455" s="16" t="s">
        <v>880</v>
      </c>
      <c r="F455" s="68">
        <f t="shared" si="74"/>
        <v>106000</v>
      </c>
      <c r="G455" s="76">
        <v>1</v>
      </c>
      <c r="H455" s="68">
        <f t="shared" si="73"/>
        <v>106000</v>
      </c>
      <c r="I455" s="24">
        <f>60000+46000</f>
        <v>106000</v>
      </c>
      <c r="J455" s="116"/>
      <c r="K455" s="116"/>
      <c r="L455" s="116"/>
      <c r="M455" s="116"/>
      <c r="N455" s="116">
        <v>7000</v>
      </c>
      <c r="O455" s="116"/>
      <c r="P455" s="116">
        <v>45000</v>
      </c>
      <c r="Q455" s="116">
        <f>6000+1000</f>
        <v>7000</v>
      </c>
      <c r="R455" s="116">
        <v>36000</v>
      </c>
      <c r="S455" s="116">
        <f>18000-7000</f>
        <v>11000</v>
      </c>
      <c r="T455" s="116"/>
      <c r="U455" s="116"/>
      <c r="V455" s="17">
        <f t="shared" si="66"/>
        <v>0</v>
      </c>
      <c r="W455" s="17">
        <f>6999.8</f>
        <v>6999.8</v>
      </c>
    </row>
    <row r="456" spans="1:23" ht="56.25">
      <c r="A456" s="134"/>
      <c r="B456" s="134"/>
      <c r="C456" s="134"/>
      <c r="D456" s="146"/>
      <c r="E456" s="16" t="s">
        <v>881</v>
      </c>
      <c r="F456" s="68">
        <f t="shared" si="74"/>
        <v>72000</v>
      </c>
      <c r="G456" s="76">
        <v>1</v>
      </c>
      <c r="H456" s="68">
        <f t="shared" si="73"/>
        <v>72000</v>
      </c>
      <c r="I456" s="24">
        <f>50000+22000</f>
        <v>72000</v>
      </c>
      <c r="J456" s="116"/>
      <c r="K456" s="116"/>
      <c r="L456" s="116"/>
      <c r="M456" s="116"/>
      <c r="N456" s="116">
        <v>6000</v>
      </c>
      <c r="O456" s="116"/>
      <c r="P456" s="116"/>
      <c r="Q456" s="116">
        <f>5000+22000</f>
        <v>27000</v>
      </c>
      <c r="R456" s="116">
        <v>30000</v>
      </c>
      <c r="S456" s="116">
        <f>15000-6000</f>
        <v>9000</v>
      </c>
      <c r="T456" s="116"/>
      <c r="U456" s="116"/>
      <c r="V456" s="17">
        <f t="shared" si="66"/>
        <v>0</v>
      </c>
      <c r="W456" s="17">
        <f>5999.8</f>
        <v>5999.8</v>
      </c>
    </row>
    <row r="457" spans="1:23" ht="56.25">
      <c r="A457" s="134"/>
      <c r="B457" s="134"/>
      <c r="C457" s="134"/>
      <c r="D457" s="146"/>
      <c r="E457" s="16" t="s">
        <v>882</v>
      </c>
      <c r="F457" s="68">
        <f t="shared" si="74"/>
        <v>72000</v>
      </c>
      <c r="G457" s="76">
        <v>1</v>
      </c>
      <c r="H457" s="68">
        <f t="shared" si="73"/>
        <v>72000</v>
      </c>
      <c r="I457" s="24">
        <f>50000+22000</f>
        <v>72000</v>
      </c>
      <c r="J457" s="116"/>
      <c r="K457" s="116"/>
      <c r="L457" s="116"/>
      <c r="M457" s="116"/>
      <c r="N457" s="116">
        <v>6000</v>
      </c>
      <c r="O457" s="116"/>
      <c r="P457" s="116"/>
      <c r="Q457" s="116">
        <f>5000+22000</f>
        <v>27000</v>
      </c>
      <c r="R457" s="116">
        <v>30000</v>
      </c>
      <c r="S457" s="116">
        <f>15000-6000</f>
        <v>9000</v>
      </c>
      <c r="T457" s="116"/>
      <c r="U457" s="116"/>
      <c r="V457" s="17">
        <f t="shared" si="66"/>
        <v>0</v>
      </c>
      <c r="W457" s="17">
        <f>5999.8</f>
        <v>5999.8</v>
      </c>
    </row>
    <row r="458" spans="1:23" ht="36" hidden="1">
      <c r="A458" s="134"/>
      <c r="B458" s="134"/>
      <c r="C458" s="134"/>
      <c r="D458" s="146"/>
      <c r="E458" s="16" t="s">
        <v>290</v>
      </c>
      <c r="F458" s="68">
        <f t="shared" si="74"/>
        <v>0</v>
      </c>
      <c r="G458" s="76">
        <v>1</v>
      </c>
      <c r="H458" s="68">
        <f t="shared" si="73"/>
        <v>0</v>
      </c>
      <c r="I458" s="24">
        <f>60000-60000</f>
        <v>0</v>
      </c>
      <c r="J458" s="116"/>
      <c r="K458" s="116"/>
      <c r="L458" s="116"/>
      <c r="M458" s="116"/>
      <c r="N458" s="116"/>
      <c r="O458" s="116"/>
      <c r="P458" s="116"/>
      <c r="Q458" s="116">
        <f>6000-6000</f>
        <v>0</v>
      </c>
      <c r="R458" s="116">
        <f>36000-36000</f>
        <v>0</v>
      </c>
      <c r="S458" s="116">
        <f>18000-18000</f>
        <v>0</v>
      </c>
      <c r="T458" s="116"/>
      <c r="U458" s="116"/>
      <c r="V458" s="17">
        <f t="shared" si="66"/>
        <v>0</v>
      </c>
      <c r="W458" s="17"/>
    </row>
    <row r="459" spans="1:23" ht="56.25">
      <c r="A459" s="134"/>
      <c r="B459" s="134"/>
      <c r="C459" s="134"/>
      <c r="D459" s="146"/>
      <c r="E459" s="16" t="s">
        <v>309</v>
      </c>
      <c r="F459" s="68">
        <f t="shared" si="74"/>
        <v>114000</v>
      </c>
      <c r="G459" s="76">
        <v>1</v>
      </c>
      <c r="H459" s="68">
        <f t="shared" si="73"/>
        <v>114000</v>
      </c>
      <c r="I459" s="24">
        <f>50000+64000</f>
        <v>114000</v>
      </c>
      <c r="J459" s="116"/>
      <c r="K459" s="116"/>
      <c r="L459" s="116"/>
      <c r="M459" s="116"/>
      <c r="N459" s="116">
        <v>8000</v>
      </c>
      <c r="O459" s="116"/>
      <c r="P459" s="116"/>
      <c r="Q459" s="116">
        <f>5000+52000</f>
        <v>57000</v>
      </c>
      <c r="R459" s="116">
        <v>30000</v>
      </c>
      <c r="S459" s="116">
        <f>15000+12000-8000</f>
        <v>19000</v>
      </c>
      <c r="T459" s="116"/>
      <c r="U459" s="116"/>
      <c r="V459" s="17">
        <f t="shared" si="66"/>
        <v>0</v>
      </c>
      <c r="W459" s="17">
        <f>7999.8</f>
        <v>7999.8</v>
      </c>
    </row>
    <row r="460" spans="1:23" ht="56.25">
      <c r="A460" s="134"/>
      <c r="B460" s="134"/>
      <c r="C460" s="134"/>
      <c r="D460" s="146"/>
      <c r="E460" s="16" t="s">
        <v>310</v>
      </c>
      <c r="F460" s="68">
        <f t="shared" si="74"/>
        <v>72000</v>
      </c>
      <c r="G460" s="76">
        <v>1</v>
      </c>
      <c r="H460" s="68">
        <f t="shared" si="73"/>
        <v>72000</v>
      </c>
      <c r="I460" s="24">
        <f>50000+22000</f>
        <v>72000</v>
      </c>
      <c r="J460" s="116"/>
      <c r="K460" s="116"/>
      <c r="L460" s="116"/>
      <c r="M460" s="116"/>
      <c r="N460" s="116">
        <v>6000</v>
      </c>
      <c r="O460" s="116"/>
      <c r="P460" s="116"/>
      <c r="Q460" s="116">
        <f>5000+22000</f>
        <v>27000</v>
      </c>
      <c r="R460" s="116">
        <v>30000</v>
      </c>
      <c r="S460" s="116">
        <f>15000-6000</f>
        <v>9000</v>
      </c>
      <c r="T460" s="116"/>
      <c r="U460" s="116"/>
      <c r="V460" s="17">
        <f t="shared" si="66"/>
        <v>0</v>
      </c>
      <c r="W460" s="17">
        <f>5999.8</f>
        <v>5999.8</v>
      </c>
    </row>
    <row r="461" spans="1:23" ht="56.25">
      <c r="A461" s="134"/>
      <c r="B461" s="134"/>
      <c r="C461" s="134"/>
      <c r="D461" s="146"/>
      <c r="E461" s="16" t="s">
        <v>311</v>
      </c>
      <c r="F461" s="68">
        <f t="shared" si="74"/>
        <v>72000</v>
      </c>
      <c r="G461" s="76">
        <v>1</v>
      </c>
      <c r="H461" s="68">
        <f t="shared" si="73"/>
        <v>72000</v>
      </c>
      <c r="I461" s="24">
        <f>50000+22000</f>
        <v>72000</v>
      </c>
      <c r="J461" s="116"/>
      <c r="K461" s="116"/>
      <c r="L461" s="116"/>
      <c r="M461" s="116"/>
      <c r="N461" s="116">
        <v>6000</v>
      </c>
      <c r="O461" s="116"/>
      <c r="P461" s="116"/>
      <c r="Q461" s="116">
        <f>5000+22000</f>
        <v>27000</v>
      </c>
      <c r="R461" s="116">
        <v>30000</v>
      </c>
      <c r="S461" s="116">
        <f>15000-6000</f>
        <v>9000</v>
      </c>
      <c r="T461" s="116"/>
      <c r="U461" s="116"/>
      <c r="V461" s="17">
        <f t="shared" si="66"/>
        <v>0</v>
      </c>
      <c r="W461" s="17">
        <f>5999.8</f>
        <v>5999.8</v>
      </c>
    </row>
    <row r="462" spans="1:23" ht="56.25">
      <c r="A462" s="134"/>
      <c r="B462" s="134"/>
      <c r="C462" s="134"/>
      <c r="D462" s="146"/>
      <c r="E462" s="16" t="s">
        <v>312</v>
      </c>
      <c r="F462" s="68">
        <f t="shared" si="74"/>
        <v>164000</v>
      </c>
      <c r="G462" s="76">
        <v>1</v>
      </c>
      <c r="H462" s="68">
        <f t="shared" si="73"/>
        <v>164000</v>
      </c>
      <c r="I462" s="24">
        <f>50000+114000</f>
        <v>164000</v>
      </c>
      <c r="J462" s="116"/>
      <c r="K462" s="116"/>
      <c r="L462" s="116"/>
      <c r="M462" s="116"/>
      <c r="N462" s="116">
        <v>10500</v>
      </c>
      <c r="O462" s="116">
        <v>15000</v>
      </c>
      <c r="P462" s="116"/>
      <c r="Q462" s="116">
        <f>5000+64000</f>
        <v>69000</v>
      </c>
      <c r="R462" s="116">
        <v>30000</v>
      </c>
      <c r="S462" s="116">
        <f>15000+35000-10500</f>
        <v>39500</v>
      </c>
      <c r="T462" s="116"/>
      <c r="U462" s="116"/>
      <c r="V462" s="17">
        <f t="shared" si="66"/>
        <v>0</v>
      </c>
      <c r="W462" s="17">
        <v>10499.8</v>
      </c>
    </row>
    <row r="463" spans="1:23" ht="56.25">
      <c r="A463" s="134"/>
      <c r="B463" s="134"/>
      <c r="C463" s="134"/>
      <c r="D463" s="146"/>
      <c r="E463" s="16" t="s">
        <v>313</v>
      </c>
      <c r="F463" s="68">
        <f t="shared" si="74"/>
        <v>105000</v>
      </c>
      <c r="G463" s="76">
        <v>1</v>
      </c>
      <c r="H463" s="68">
        <f t="shared" si="73"/>
        <v>105000</v>
      </c>
      <c r="I463" s="24">
        <f>50000+55000</f>
        <v>105000</v>
      </c>
      <c r="J463" s="116"/>
      <c r="K463" s="116"/>
      <c r="L463" s="116"/>
      <c r="M463" s="116"/>
      <c r="N463" s="116">
        <v>7500</v>
      </c>
      <c r="O463" s="116"/>
      <c r="P463" s="116">
        <v>55000</v>
      </c>
      <c r="Q463" s="116">
        <v>5000</v>
      </c>
      <c r="R463" s="116">
        <v>30000</v>
      </c>
      <c r="S463" s="116">
        <f>15000-7500</f>
        <v>7500</v>
      </c>
      <c r="T463" s="116"/>
      <c r="U463" s="116"/>
      <c r="V463" s="17">
        <f t="shared" si="66"/>
        <v>0</v>
      </c>
      <c r="W463" s="17">
        <v>7499.8</v>
      </c>
    </row>
    <row r="464" spans="1:23" ht="56.25">
      <c r="A464" s="134"/>
      <c r="B464" s="134"/>
      <c r="C464" s="134"/>
      <c r="D464" s="146"/>
      <c r="E464" s="16" t="s">
        <v>383</v>
      </c>
      <c r="F464" s="68"/>
      <c r="G464" s="76"/>
      <c r="H464" s="68"/>
      <c r="I464" s="24">
        <v>40000</v>
      </c>
      <c r="J464" s="116"/>
      <c r="K464" s="116"/>
      <c r="L464" s="116"/>
      <c r="M464" s="116"/>
      <c r="N464" s="116">
        <v>4000</v>
      </c>
      <c r="O464" s="116"/>
      <c r="P464" s="116">
        <v>3000</v>
      </c>
      <c r="Q464" s="116">
        <f>18000-4000</f>
        <v>14000</v>
      </c>
      <c r="R464" s="116">
        <v>19000</v>
      </c>
      <c r="S464" s="116"/>
      <c r="T464" s="116"/>
      <c r="U464" s="116"/>
      <c r="V464" s="17">
        <f>I464-J464-K464-L464-M464-N464-O464-P464-Q464-R464-S464-T464-U464</f>
        <v>0</v>
      </c>
      <c r="W464" s="17">
        <v>3999.8</v>
      </c>
    </row>
    <row r="465" spans="1:23" ht="56.25">
      <c r="A465" s="134"/>
      <c r="B465" s="134"/>
      <c r="C465" s="134"/>
      <c r="D465" s="146"/>
      <c r="E465" s="16" t="s">
        <v>314</v>
      </c>
      <c r="F465" s="68">
        <f t="shared" si="74"/>
        <v>72000</v>
      </c>
      <c r="G465" s="76">
        <v>1</v>
      </c>
      <c r="H465" s="68">
        <f t="shared" si="73"/>
        <v>72000</v>
      </c>
      <c r="I465" s="24">
        <f>50000+22000</f>
        <v>72000</v>
      </c>
      <c r="J465" s="116"/>
      <c r="K465" s="116"/>
      <c r="L465" s="116"/>
      <c r="M465" s="116"/>
      <c r="N465" s="116">
        <v>6000</v>
      </c>
      <c r="O465" s="116"/>
      <c r="P465" s="116"/>
      <c r="Q465" s="116">
        <f>5000+22000</f>
        <v>27000</v>
      </c>
      <c r="R465" s="116">
        <v>30000</v>
      </c>
      <c r="S465" s="116">
        <f>15000-6000</f>
        <v>9000</v>
      </c>
      <c r="T465" s="116"/>
      <c r="U465" s="116"/>
      <c r="V465" s="17">
        <f t="shared" si="66"/>
        <v>0</v>
      </c>
      <c r="W465" s="17">
        <v>5999.8</v>
      </c>
    </row>
    <row r="466" spans="1:23" ht="56.25">
      <c r="A466" s="134"/>
      <c r="B466" s="134"/>
      <c r="C466" s="134"/>
      <c r="D466" s="146"/>
      <c r="E466" s="16" t="s">
        <v>1070</v>
      </c>
      <c r="F466" s="68">
        <f t="shared" si="74"/>
        <v>72000</v>
      </c>
      <c r="G466" s="76">
        <v>1</v>
      </c>
      <c r="H466" s="68">
        <f t="shared" si="73"/>
        <v>72000</v>
      </c>
      <c r="I466" s="24">
        <f>50000+22000</f>
        <v>72000</v>
      </c>
      <c r="J466" s="116"/>
      <c r="K466" s="116"/>
      <c r="L466" s="116"/>
      <c r="M466" s="116"/>
      <c r="N466" s="116">
        <v>6000</v>
      </c>
      <c r="O466" s="116"/>
      <c r="P466" s="116"/>
      <c r="Q466" s="116">
        <f>5000+22000</f>
        <v>27000</v>
      </c>
      <c r="R466" s="116">
        <v>30000</v>
      </c>
      <c r="S466" s="116">
        <f>15000-6000</f>
        <v>9000</v>
      </c>
      <c r="T466" s="116"/>
      <c r="U466" s="116"/>
      <c r="V466" s="17">
        <f t="shared" si="66"/>
        <v>0</v>
      </c>
      <c r="W466" s="17">
        <v>5999.8</v>
      </c>
    </row>
    <row r="467" spans="1:23" ht="56.25">
      <c r="A467" s="134"/>
      <c r="B467" s="134"/>
      <c r="C467" s="134"/>
      <c r="D467" s="146"/>
      <c r="E467" s="45" t="s">
        <v>384</v>
      </c>
      <c r="F467" s="68"/>
      <c r="G467" s="76"/>
      <c r="H467" s="68"/>
      <c r="I467" s="24">
        <v>112000</v>
      </c>
      <c r="J467" s="116"/>
      <c r="K467" s="116"/>
      <c r="L467" s="116"/>
      <c r="M467" s="116"/>
      <c r="N467" s="116">
        <v>8000</v>
      </c>
      <c r="O467" s="116"/>
      <c r="P467" s="116"/>
      <c r="Q467" s="116">
        <v>8000</v>
      </c>
      <c r="R467" s="116">
        <v>46000</v>
      </c>
      <c r="S467" s="116">
        <v>46000</v>
      </c>
      <c r="T467" s="116">
        <f>12000-8000</f>
        <v>4000</v>
      </c>
      <c r="U467" s="116"/>
      <c r="V467" s="17">
        <f>I467-J467-K467-L467-M467-N467-O467-P467-Q467-R467-S467-T467-U467</f>
        <v>0</v>
      </c>
      <c r="W467" s="17">
        <v>7999.8</v>
      </c>
    </row>
    <row r="468" spans="1:23" ht="75">
      <c r="A468" s="134"/>
      <c r="B468" s="134"/>
      <c r="C468" s="134"/>
      <c r="D468" s="146"/>
      <c r="E468" s="43" t="s">
        <v>502</v>
      </c>
      <c r="F468" s="68">
        <f t="shared" si="74"/>
        <v>42000</v>
      </c>
      <c r="G468" s="76">
        <v>1</v>
      </c>
      <c r="H468" s="68">
        <f t="shared" si="73"/>
        <v>42000</v>
      </c>
      <c r="I468" s="24">
        <v>42000</v>
      </c>
      <c r="J468" s="116"/>
      <c r="K468" s="116"/>
      <c r="L468" s="116"/>
      <c r="M468" s="116"/>
      <c r="N468" s="116"/>
      <c r="O468" s="116"/>
      <c r="P468" s="116"/>
      <c r="Q468" s="116">
        <v>4200</v>
      </c>
      <c r="R468" s="116">
        <v>25200</v>
      </c>
      <c r="S468" s="116">
        <v>12600</v>
      </c>
      <c r="T468" s="116"/>
      <c r="U468" s="116"/>
      <c r="V468" s="17">
        <f t="shared" si="66"/>
        <v>0</v>
      </c>
      <c r="W468" s="17"/>
    </row>
    <row r="469" spans="1:23" ht="93.75">
      <c r="A469" s="134"/>
      <c r="B469" s="134"/>
      <c r="C469" s="134"/>
      <c r="D469" s="146"/>
      <c r="E469" s="43" t="s">
        <v>503</v>
      </c>
      <c r="F469" s="68">
        <f t="shared" si="74"/>
        <v>265000</v>
      </c>
      <c r="G469" s="76">
        <v>1</v>
      </c>
      <c r="H469" s="68">
        <f t="shared" si="73"/>
        <v>265000</v>
      </c>
      <c r="I469" s="24">
        <v>265000</v>
      </c>
      <c r="J469" s="116"/>
      <c r="K469" s="116"/>
      <c r="L469" s="116"/>
      <c r="M469" s="116"/>
      <c r="N469" s="116"/>
      <c r="O469" s="116"/>
      <c r="P469" s="116"/>
      <c r="Q469" s="116">
        <v>26500</v>
      </c>
      <c r="R469" s="116">
        <v>159000</v>
      </c>
      <c r="S469" s="116">
        <v>79500</v>
      </c>
      <c r="T469" s="116"/>
      <c r="U469" s="116"/>
      <c r="V469" s="17">
        <f t="shared" si="66"/>
        <v>0</v>
      </c>
      <c r="W469" s="17"/>
    </row>
    <row r="470" spans="1:23" ht="56.25">
      <c r="A470" s="134"/>
      <c r="B470" s="134"/>
      <c r="C470" s="134"/>
      <c r="D470" s="146"/>
      <c r="E470" s="52" t="s">
        <v>419</v>
      </c>
      <c r="F470" s="68"/>
      <c r="G470" s="76"/>
      <c r="H470" s="68"/>
      <c r="I470" s="24">
        <v>238000</v>
      </c>
      <c r="J470" s="116"/>
      <c r="K470" s="116"/>
      <c r="L470" s="116"/>
      <c r="M470" s="116"/>
      <c r="N470" s="116">
        <v>20900</v>
      </c>
      <c r="O470" s="116"/>
      <c r="P470" s="116">
        <v>3000</v>
      </c>
      <c r="Q470" s="116">
        <v>6000</v>
      </c>
      <c r="R470" s="116">
        <f>102000-20900</f>
        <v>81100</v>
      </c>
      <c r="S470" s="116">
        <v>127000</v>
      </c>
      <c r="T470" s="116"/>
      <c r="U470" s="116"/>
      <c r="V470" s="17">
        <f aca="true" t="shared" si="75" ref="V470:V476">I470-J470-K470-L470-M470-N470-O470-P470-Q470-R470-S470-T470-U470</f>
        <v>0</v>
      </c>
      <c r="W470" s="17"/>
    </row>
    <row r="471" spans="1:23" ht="56.25">
      <c r="A471" s="134"/>
      <c r="B471" s="134"/>
      <c r="C471" s="134"/>
      <c r="D471" s="146"/>
      <c r="E471" s="52" t="s">
        <v>420</v>
      </c>
      <c r="F471" s="68"/>
      <c r="G471" s="76"/>
      <c r="H471" s="68"/>
      <c r="I471" s="24">
        <v>238000</v>
      </c>
      <c r="J471" s="116"/>
      <c r="K471" s="116"/>
      <c r="L471" s="116"/>
      <c r="M471" s="116"/>
      <c r="N471" s="116">
        <v>20900</v>
      </c>
      <c r="O471" s="116"/>
      <c r="P471" s="116">
        <v>5000</v>
      </c>
      <c r="Q471" s="116">
        <v>6000</v>
      </c>
      <c r="R471" s="116">
        <v>51000</v>
      </c>
      <c r="S471" s="116">
        <f>26000-20900</f>
        <v>5100</v>
      </c>
      <c r="T471" s="116">
        <v>150000</v>
      </c>
      <c r="U471" s="116"/>
      <c r="V471" s="17">
        <f t="shared" si="75"/>
        <v>0</v>
      </c>
      <c r="W471" s="17"/>
    </row>
    <row r="472" spans="1:23" ht="56.25">
      <c r="A472" s="134"/>
      <c r="B472" s="134"/>
      <c r="C472" s="134"/>
      <c r="D472" s="146"/>
      <c r="E472" s="52" t="s">
        <v>345</v>
      </c>
      <c r="F472" s="68"/>
      <c r="G472" s="76"/>
      <c r="H472" s="68"/>
      <c r="I472" s="24">
        <v>100000</v>
      </c>
      <c r="J472" s="116"/>
      <c r="K472" s="116"/>
      <c r="L472" s="116"/>
      <c r="M472" s="116"/>
      <c r="N472" s="116">
        <v>11600</v>
      </c>
      <c r="O472" s="116"/>
      <c r="P472" s="116"/>
      <c r="Q472" s="116">
        <v>10000</v>
      </c>
      <c r="R472" s="116">
        <v>60000</v>
      </c>
      <c r="S472" s="116">
        <f>30000-11600</f>
        <v>18400</v>
      </c>
      <c r="T472" s="116"/>
      <c r="U472" s="116"/>
      <c r="V472" s="17">
        <f t="shared" si="75"/>
        <v>0</v>
      </c>
      <c r="W472" s="17"/>
    </row>
    <row r="473" spans="1:23" ht="56.25">
      <c r="A473" s="134"/>
      <c r="B473" s="134"/>
      <c r="C473" s="134"/>
      <c r="D473" s="146"/>
      <c r="E473" s="52" t="s">
        <v>1052</v>
      </c>
      <c r="F473" s="68"/>
      <c r="G473" s="76"/>
      <c r="H473" s="68"/>
      <c r="I473" s="24">
        <v>100000</v>
      </c>
      <c r="J473" s="116"/>
      <c r="K473" s="116"/>
      <c r="L473" s="116"/>
      <c r="M473" s="116"/>
      <c r="N473" s="116">
        <v>11600</v>
      </c>
      <c r="O473" s="116"/>
      <c r="P473" s="116"/>
      <c r="Q473" s="116">
        <v>10000</v>
      </c>
      <c r="R473" s="116">
        <v>60000</v>
      </c>
      <c r="S473" s="116">
        <f>30000-11600</f>
        <v>18400</v>
      </c>
      <c r="T473" s="116"/>
      <c r="U473" s="116"/>
      <c r="V473" s="17">
        <f t="shared" si="75"/>
        <v>0</v>
      </c>
      <c r="W473" s="17"/>
    </row>
    <row r="474" spans="1:23" ht="56.25">
      <c r="A474" s="134"/>
      <c r="B474" s="134"/>
      <c r="C474" s="134"/>
      <c r="D474" s="146"/>
      <c r="E474" s="52" t="s">
        <v>380</v>
      </c>
      <c r="F474" s="68"/>
      <c r="G474" s="76"/>
      <c r="H474" s="68"/>
      <c r="I474" s="24">
        <v>121000</v>
      </c>
      <c r="J474" s="116"/>
      <c r="K474" s="116"/>
      <c r="L474" s="116"/>
      <c r="M474" s="116"/>
      <c r="N474" s="116">
        <v>15200</v>
      </c>
      <c r="O474" s="116"/>
      <c r="P474" s="116"/>
      <c r="Q474" s="116">
        <v>8000</v>
      </c>
      <c r="R474" s="116">
        <v>50000</v>
      </c>
      <c r="S474" s="116">
        <f>29000-15200</f>
        <v>13800</v>
      </c>
      <c r="T474" s="116">
        <v>34000</v>
      </c>
      <c r="U474" s="116"/>
      <c r="V474" s="17">
        <f t="shared" si="75"/>
        <v>0</v>
      </c>
      <c r="W474" s="17"/>
    </row>
    <row r="475" spans="1:23" ht="56.25">
      <c r="A475" s="134"/>
      <c r="B475" s="134"/>
      <c r="C475" s="134"/>
      <c r="D475" s="146"/>
      <c r="E475" s="52" t="s">
        <v>381</v>
      </c>
      <c r="F475" s="68"/>
      <c r="G475" s="76"/>
      <c r="H475" s="68"/>
      <c r="I475" s="24">
        <v>130000</v>
      </c>
      <c r="J475" s="116"/>
      <c r="K475" s="116"/>
      <c r="L475" s="116"/>
      <c r="M475" s="116"/>
      <c r="N475" s="116">
        <v>8020</v>
      </c>
      <c r="O475" s="116"/>
      <c r="P475" s="116"/>
      <c r="Q475" s="116">
        <v>10000</v>
      </c>
      <c r="R475" s="116">
        <v>80000</v>
      </c>
      <c r="S475" s="116">
        <f>40000-8020</f>
        <v>31980</v>
      </c>
      <c r="T475" s="116"/>
      <c r="U475" s="116"/>
      <c r="V475" s="17">
        <f t="shared" si="75"/>
        <v>0</v>
      </c>
      <c r="W475" s="17"/>
    </row>
    <row r="476" spans="1:23" ht="56.25">
      <c r="A476" s="134"/>
      <c r="B476" s="134"/>
      <c r="C476" s="134"/>
      <c r="D476" s="146"/>
      <c r="E476" s="52" t="s">
        <v>382</v>
      </c>
      <c r="F476" s="68"/>
      <c r="G476" s="76"/>
      <c r="H476" s="68"/>
      <c r="I476" s="24">
        <v>50000</v>
      </c>
      <c r="J476" s="116"/>
      <c r="K476" s="116"/>
      <c r="L476" s="116"/>
      <c r="M476" s="116"/>
      <c r="N476" s="116">
        <v>4350</v>
      </c>
      <c r="O476" s="116"/>
      <c r="P476" s="116"/>
      <c r="Q476" s="116">
        <v>5000</v>
      </c>
      <c r="R476" s="116">
        <v>35000</v>
      </c>
      <c r="S476" s="116">
        <f>10000-4350</f>
        <v>5650</v>
      </c>
      <c r="T476" s="116"/>
      <c r="U476" s="116"/>
      <c r="V476" s="17">
        <f t="shared" si="75"/>
        <v>0</v>
      </c>
      <c r="W476" s="17"/>
    </row>
    <row r="477" spans="1:23" ht="81.75" customHeight="1">
      <c r="A477" s="134"/>
      <c r="B477" s="134"/>
      <c r="C477" s="134"/>
      <c r="D477" s="146"/>
      <c r="E477" s="43" t="s">
        <v>796</v>
      </c>
      <c r="F477" s="68">
        <f t="shared" si="74"/>
        <v>100000</v>
      </c>
      <c r="G477" s="76">
        <v>1</v>
      </c>
      <c r="H477" s="68">
        <f t="shared" si="73"/>
        <v>100000</v>
      </c>
      <c r="I477" s="24">
        <v>100000</v>
      </c>
      <c r="J477" s="116"/>
      <c r="K477" s="116"/>
      <c r="L477" s="116"/>
      <c r="M477" s="116"/>
      <c r="N477" s="116"/>
      <c r="O477" s="116"/>
      <c r="P477" s="116"/>
      <c r="Q477" s="116">
        <v>10000</v>
      </c>
      <c r="R477" s="116">
        <v>60000</v>
      </c>
      <c r="S477" s="116">
        <v>30000</v>
      </c>
      <c r="T477" s="116"/>
      <c r="U477" s="116"/>
      <c r="V477" s="17">
        <f t="shared" si="66"/>
        <v>0</v>
      </c>
      <c r="W477" s="17"/>
    </row>
    <row r="478" spans="1:23" ht="93.75">
      <c r="A478" s="134"/>
      <c r="B478" s="134"/>
      <c r="C478" s="134"/>
      <c r="D478" s="146"/>
      <c r="E478" s="43" t="s">
        <v>917</v>
      </c>
      <c r="F478" s="68">
        <f t="shared" si="74"/>
        <v>265000</v>
      </c>
      <c r="G478" s="76">
        <v>1</v>
      </c>
      <c r="H478" s="68">
        <f t="shared" si="73"/>
        <v>265000</v>
      </c>
      <c r="I478" s="24">
        <v>265000</v>
      </c>
      <c r="J478" s="116"/>
      <c r="K478" s="116"/>
      <c r="L478" s="116"/>
      <c r="M478" s="116"/>
      <c r="N478" s="116"/>
      <c r="O478" s="116"/>
      <c r="P478" s="116"/>
      <c r="Q478" s="116">
        <v>26500</v>
      </c>
      <c r="R478" s="116">
        <v>159000</v>
      </c>
      <c r="S478" s="116">
        <v>79500</v>
      </c>
      <c r="T478" s="116"/>
      <c r="U478" s="116"/>
      <c r="V478" s="17">
        <f t="shared" si="66"/>
        <v>0</v>
      </c>
      <c r="W478" s="17"/>
    </row>
    <row r="479" spans="1:23" ht="56.25">
      <c r="A479" s="134"/>
      <c r="B479" s="134"/>
      <c r="C479" s="134"/>
      <c r="D479" s="146"/>
      <c r="E479" s="43" t="s">
        <v>918</v>
      </c>
      <c r="F479" s="68">
        <f t="shared" si="74"/>
        <v>400000</v>
      </c>
      <c r="G479" s="76">
        <v>1</v>
      </c>
      <c r="H479" s="68">
        <f t="shared" si="73"/>
        <v>400000</v>
      </c>
      <c r="I479" s="24">
        <v>400000</v>
      </c>
      <c r="J479" s="116"/>
      <c r="K479" s="116"/>
      <c r="L479" s="116"/>
      <c r="M479" s="116"/>
      <c r="N479" s="116"/>
      <c r="O479" s="116"/>
      <c r="P479" s="116"/>
      <c r="Q479" s="116">
        <v>40000</v>
      </c>
      <c r="R479" s="116">
        <v>240000</v>
      </c>
      <c r="S479" s="116">
        <v>120000</v>
      </c>
      <c r="T479" s="116"/>
      <c r="U479" s="116"/>
      <c r="V479" s="17">
        <f t="shared" si="66"/>
        <v>0</v>
      </c>
      <c r="W479" s="17"/>
    </row>
    <row r="480" spans="1:23" ht="75">
      <c r="A480" s="134"/>
      <c r="B480" s="134"/>
      <c r="C480" s="134"/>
      <c r="D480" s="146"/>
      <c r="E480" s="43" t="s">
        <v>919</v>
      </c>
      <c r="F480" s="68">
        <f t="shared" si="74"/>
        <v>2493000</v>
      </c>
      <c r="G480" s="76">
        <v>1</v>
      </c>
      <c r="H480" s="68">
        <f t="shared" si="73"/>
        <v>2493000</v>
      </c>
      <c r="I480" s="24">
        <v>2493000</v>
      </c>
      <c r="J480" s="116"/>
      <c r="K480" s="116"/>
      <c r="L480" s="116">
        <v>20000</v>
      </c>
      <c r="M480" s="116"/>
      <c r="N480" s="116"/>
      <c r="O480" s="116">
        <v>20000</v>
      </c>
      <c r="P480" s="116"/>
      <c r="Q480" s="116">
        <f>1240000-20000</f>
        <v>1220000</v>
      </c>
      <c r="R480" s="116"/>
      <c r="S480" s="116">
        <f>1253000-20000</f>
        <v>1233000</v>
      </c>
      <c r="T480" s="116"/>
      <c r="U480" s="116"/>
      <c r="V480" s="17">
        <f t="shared" si="66"/>
        <v>0</v>
      </c>
      <c r="W480" s="17">
        <f>19998.84</f>
        <v>19998.84</v>
      </c>
    </row>
    <row r="481" spans="1:23" ht="54" hidden="1">
      <c r="A481" s="134"/>
      <c r="B481" s="134"/>
      <c r="C481" s="134"/>
      <c r="D481" s="146"/>
      <c r="E481" s="43" t="s">
        <v>188</v>
      </c>
      <c r="F481" s="68">
        <f t="shared" si="74"/>
        <v>0</v>
      </c>
      <c r="G481" s="76">
        <v>1</v>
      </c>
      <c r="H481" s="68">
        <f t="shared" si="73"/>
        <v>0</v>
      </c>
      <c r="I481" s="24">
        <f>100000-100000</f>
        <v>0</v>
      </c>
      <c r="J481" s="116"/>
      <c r="K481" s="116"/>
      <c r="L481" s="116"/>
      <c r="M481" s="116"/>
      <c r="N481" s="116"/>
      <c r="O481" s="116"/>
      <c r="P481" s="116"/>
      <c r="Q481" s="116">
        <f>10000-10000</f>
        <v>0</v>
      </c>
      <c r="R481" s="116">
        <f>60000-60000</f>
        <v>0</v>
      </c>
      <c r="S481" s="116">
        <f>30000-30000</f>
        <v>0</v>
      </c>
      <c r="T481" s="116"/>
      <c r="U481" s="116"/>
      <c r="V481" s="17">
        <f t="shared" si="66"/>
        <v>0</v>
      </c>
      <c r="W481" s="17"/>
    </row>
    <row r="482" spans="1:23" ht="54" hidden="1">
      <c r="A482" s="134"/>
      <c r="B482" s="134"/>
      <c r="C482" s="134"/>
      <c r="D482" s="146"/>
      <c r="E482" s="43" t="s">
        <v>955</v>
      </c>
      <c r="F482" s="68">
        <f t="shared" si="74"/>
        <v>0</v>
      </c>
      <c r="G482" s="76">
        <v>1</v>
      </c>
      <c r="H482" s="68">
        <f t="shared" si="73"/>
        <v>0</v>
      </c>
      <c r="I482" s="24">
        <f>100000-100000</f>
        <v>0</v>
      </c>
      <c r="J482" s="116"/>
      <c r="K482" s="116"/>
      <c r="L482" s="116"/>
      <c r="M482" s="116"/>
      <c r="N482" s="116"/>
      <c r="O482" s="116"/>
      <c r="P482" s="116"/>
      <c r="Q482" s="116">
        <f>10000-10000</f>
        <v>0</v>
      </c>
      <c r="R482" s="116">
        <f>60000-60000</f>
        <v>0</v>
      </c>
      <c r="S482" s="116">
        <f>30000-30000</f>
        <v>0</v>
      </c>
      <c r="T482" s="116"/>
      <c r="U482" s="116"/>
      <c r="V482" s="17">
        <f t="shared" si="66"/>
        <v>0</v>
      </c>
      <c r="W482" s="17"/>
    </row>
    <row r="483" spans="1:23" ht="62.25" customHeight="1" hidden="1">
      <c r="A483" s="134"/>
      <c r="B483" s="134"/>
      <c r="C483" s="134"/>
      <c r="D483" s="146"/>
      <c r="E483" s="43" t="s">
        <v>136</v>
      </c>
      <c r="F483" s="68">
        <f t="shared" si="74"/>
        <v>0</v>
      </c>
      <c r="G483" s="76">
        <v>1</v>
      </c>
      <c r="H483" s="68">
        <f t="shared" si="73"/>
        <v>0</v>
      </c>
      <c r="I483" s="24">
        <f>50000-50000</f>
        <v>0</v>
      </c>
      <c r="J483" s="116"/>
      <c r="K483" s="116"/>
      <c r="L483" s="116"/>
      <c r="M483" s="116"/>
      <c r="N483" s="116"/>
      <c r="O483" s="116"/>
      <c r="P483" s="116"/>
      <c r="Q483" s="116">
        <f>5000-5000</f>
        <v>0</v>
      </c>
      <c r="R483" s="116">
        <f>30000-30000</f>
        <v>0</v>
      </c>
      <c r="S483" s="116">
        <f>15000-15000</f>
        <v>0</v>
      </c>
      <c r="T483" s="116"/>
      <c r="U483" s="116"/>
      <c r="V483" s="17">
        <f t="shared" si="66"/>
        <v>0</v>
      </c>
      <c r="W483" s="17"/>
    </row>
    <row r="484" spans="1:23" ht="54" hidden="1">
      <c r="A484" s="134"/>
      <c r="B484" s="134"/>
      <c r="C484" s="134"/>
      <c r="D484" s="146"/>
      <c r="E484" s="43" t="s">
        <v>137</v>
      </c>
      <c r="F484" s="68">
        <f t="shared" si="74"/>
        <v>0</v>
      </c>
      <c r="G484" s="76">
        <v>1</v>
      </c>
      <c r="H484" s="68">
        <f t="shared" si="73"/>
        <v>0</v>
      </c>
      <c r="I484" s="24">
        <f>100000-100000</f>
        <v>0</v>
      </c>
      <c r="J484" s="116"/>
      <c r="K484" s="116"/>
      <c r="L484" s="116"/>
      <c r="M484" s="116"/>
      <c r="N484" s="116"/>
      <c r="O484" s="116"/>
      <c r="P484" s="116"/>
      <c r="Q484" s="116">
        <f>10000-10000</f>
        <v>0</v>
      </c>
      <c r="R484" s="116">
        <f>60000-60000</f>
        <v>0</v>
      </c>
      <c r="S484" s="116">
        <f>30000-30000</f>
        <v>0</v>
      </c>
      <c r="T484" s="116"/>
      <c r="U484" s="116"/>
      <c r="V484" s="17">
        <f t="shared" si="66"/>
        <v>0</v>
      </c>
      <c r="W484" s="17"/>
    </row>
    <row r="485" spans="1:23" ht="54" hidden="1">
      <c r="A485" s="134"/>
      <c r="B485" s="134"/>
      <c r="C485" s="134"/>
      <c r="D485" s="146"/>
      <c r="E485" s="43" t="s">
        <v>249</v>
      </c>
      <c r="F485" s="68">
        <f t="shared" si="74"/>
        <v>0</v>
      </c>
      <c r="G485" s="76">
        <v>1</v>
      </c>
      <c r="H485" s="68">
        <f t="shared" si="73"/>
        <v>0</v>
      </c>
      <c r="I485" s="24">
        <f>100000-100000</f>
        <v>0</v>
      </c>
      <c r="J485" s="116"/>
      <c r="K485" s="116"/>
      <c r="L485" s="116"/>
      <c r="M485" s="116"/>
      <c r="N485" s="116"/>
      <c r="O485" s="116"/>
      <c r="P485" s="116"/>
      <c r="Q485" s="116">
        <f>10000-10000</f>
        <v>0</v>
      </c>
      <c r="R485" s="116">
        <f>60000-60000</f>
        <v>0</v>
      </c>
      <c r="S485" s="116">
        <f>30000-30000</f>
        <v>0</v>
      </c>
      <c r="T485" s="116"/>
      <c r="U485" s="116"/>
      <c r="V485" s="17">
        <f t="shared" si="66"/>
        <v>0</v>
      </c>
      <c r="W485" s="17"/>
    </row>
    <row r="486" spans="1:23" ht="42" customHeight="1">
      <c r="A486" s="134"/>
      <c r="B486" s="134"/>
      <c r="C486" s="134"/>
      <c r="D486" s="146"/>
      <c r="E486" s="43" t="s">
        <v>250</v>
      </c>
      <c r="F486" s="68">
        <f t="shared" si="74"/>
        <v>2087910</v>
      </c>
      <c r="G486" s="76">
        <v>1</v>
      </c>
      <c r="H486" s="68">
        <f t="shared" si="73"/>
        <v>2087910</v>
      </c>
      <c r="I486" s="24">
        <f>3587910-1500000</f>
        <v>2087910</v>
      </c>
      <c r="J486" s="116"/>
      <c r="K486" s="116"/>
      <c r="L486" s="116"/>
      <c r="M486" s="116"/>
      <c r="N486" s="116">
        <v>10000</v>
      </c>
      <c r="O486" s="116"/>
      <c r="P486" s="116"/>
      <c r="Q486" s="116">
        <f>208791-10000</f>
        <v>198791</v>
      </c>
      <c r="R486" s="116">
        <v>1252746</v>
      </c>
      <c r="S486" s="116">
        <v>626373</v>
      </c>
      <c r="T486" s="116"/>
      <c r="U486" s="116"/>
      <c r="V486" s="17">
        <f t="shared" si="66"/>
        <v>0</v>
      </c>
      <c r="W486" s="17">
        <f>4924.8</f>
        <v>4924.8</v>
      </c>
    </row>
    <row r="487" spans="1:23" ht="75">
      <c r="A487" s="134"/>
      <c r="B487" s="134"/>
      <c r="C487" s="134"/>
      <c r="D487" s="146"/>
      <c r="E487" s="36" t="s">
        <v>251</v>
      </c>
      <c r="F487" s="68">
        <f t="shared" si="74"/>
        <v>505000</v>
      </c>
      <c r="G487" s="76">
        <v>1</v>
      </c>
      <c r="H487" s="68">
        <f t="shared" si="73"/>
        <v>505000</v>
      </c>
      <c r="I487" s="30">
        <v>505000</v>
      </c>
      <c r="J487" s="116"/>
      <c r="K487" s="116"/>
      <c r="L487" s="116">
        <v>279895.12</v>
      </c>
      <c r="M487" s="116"/>
      <c r="N487" s="116"/>
      <c r="O487" s="116">
        <v>81000</v>
      </c>
      <c r="P487" s="116">
        <v>50500</v>
      </c>
      <c r="Q487" s="116">
        <f>303000-279895.12</f>
        <v>23104.880000000005</v>
      </c>
      <c r="R487" s="116"/>
      <c r="S487" s="116">
        <f>151500-81000</f>
        <v>70500</v>
      </c>
      <c r="T487" s="116"/>
      <c r="U487" s="116"/>
      <c r="V487" s="17">
        <f t="shared" si="66"/>
        <v>0</v>
      </c>
      <c r="W487" s="17">
        <f>232868+127807.6</f>
        <v>360675.6</v>
      </c>
    </row>
    <row r="488" spans="1:23" ht="93.75">
      <c r="A488" s="134"/>
      <c r="B488" s="134"/>
      <c r="C488" s="134"/>
      <c r="D488" s="146"/>
      <c r="E488" s="36" t="s">
        <v>1095</v>
      </c>
      <c r="F488" s="68"/>
      <c r="G488" s="76"/>
      <c r="H488" s="68"/>
      <c r="I488" s="30">
        <v>220000</v>
      </c>
      <c r="J488" s="116"/>
      <c r="K488" s="116"/>
      <c r="L488" s="116"/>
      <c r="M488" s="116"/>
      <c r="N488" s="116"/>
      <c r="O488" s="116"/>
      <c r="P488" s="116">
        <v>220000</v>
      </c>
      <c r="Q488" s="116"/>
      <c r="R488" s="116"/>
      <c r="S488" s="116"/>
      <c r="T488" s="116"/>
      <c r="U488" s="116"/>
      <c r="V488" s="17">
        <f>I488-J488-K488-L488-M488-N488-O488-P488-Q488-R488-S488-T488-U488</f>
        <v>0</v>
      </c>
      <c r="W488" s="17"/>
    </row>
    <row r="489" spans="1:23" ht="75">
      <c r="A489" s="134"/>
      <c r="B489" s="134"/>
      <c r="C489" s="134"/>
      <c r="D489" s="146"/>
      <c r="E489" s="36" t="s">
        <v>252</v>
      </c>
      <c r="F489" s="68">
        <f t="shared" si="74"/>
        <v>350000</v>
      </c>
      <c r="G489" s="76">
        <v>1</v>
      </c>
      <c r="H489" s="68">
        <f t="shared" si="73"/>
        <v>350000</v>
      </c>
      <c r="I489" s="30">
        <v>350000</v>
      </c>
      <c r="J489" s="116"/>
      <c r="K489" s="116"/>
      <c r="L489" s="116"/>
      <c r="M489" s="116"/>
      <c r="N489" s="116"/>
      <c r="O489" s="116"/>
      <c r="P489" s="116">
        <v>35000</v>
      </c>
      <c r="Q489" s="116">
        <v>210000</v>
      </c>
      <c r="R489" s="116"/>
      <c r="S489" s="116">
        <v>105000</v>
      </c>
      <c r="T489" s="116"/>
      <c r="U489" s="116"/>
      <c r="V489" s="17">
        <f t="shared" si="66"/>
        <v>0</v>
      </c>
      <c r="W489" s="17"/>
    </row>
    <row r="490" spans="1:23" ht="56.25">
      <c r="A490" s="134"/>
      <c r="B490" s="134"/>
      <c r="C490" s="134"/>
      <c r="D490" s="146"/>
      <c r="E490" s="36" t="s">
        <v>253</v>
      </c>
      <c r="F490" s="68">
        <f t="shared" si="74"/>
        <v>300000</v>
      </c>
      <c r="G490" s="76">
        <v>1</v>
      </c>
      <c r="H490" s="68">
        <f t="shared" si="73"/>
        <v>300000</v>
      </c>
      <c r="I490" s="30">
        <v>300000</v>
      </c>
      <c r="J490" s="116"/>
      <c r="K490" s="116"/>
      <c r="L490" s="116">
        <v>1500</v>
      </c>
      <c r="M490" s="116"/>
      <c r="N490" s="116">
        <v>155000</v>
      </c>
      <c r="O490" s="116">
        <v>143500</v>
      </c>
      <c r="P490" s="116">
        <f>30000-30000</f>
        <v>0</v>
      </c>
      <c r="Q490" s="116">
        <f>180000-1500-178500</f>
        <v>0</v>
      </c>
      <c r="R490" s="116"/>
      <c r="S490" s="116">
        <f>90000-90000</f>
        <v>0</v>
      </c>
      <c r="T490" s="116"/>
      <c r="U490" s="116"/>
      <c r="V490" s="17">
        <f t="shared" si="66"/>
        <v>0</v>
      </c>
      <c r="W490" s="17">
        <f>149555.88</f>
        <v>149555.88</v>
      </c>
    </row>
    <row r="491" spans="1:23" ht="75">
      <c r="A491" s="134"/>
      <c r="B491" s="134"/>
      <c r="C491" s="134"/>
      <c r="D491" s="146"/>
      <c r="E491" s="36" t="s">
        <v>254</v>
      </c>
      <c r="F491" s="68">
        <f t="shared" si="74"/>
        <v>595000</v>
      </c>
      <c r="G491" s="76">
        <v>1</v>
      </c>
      <c r="H491" s="68">
        <f t="shared" si="73"/>
        <v>595000</v>
      </c>
      <c r="I491" s="30">
        <v>595000</v>
      </c>
      <c r="J491" s="116"/>
      <c r="K491" s="116"/>
      <c r="L491" s="116"/>
      <c r="M491" s="116"/>
      <c r="N491" s="116"/>
      <c r="O491" s="116"/>
      <c r="P491" s="116">
        <v>59500</v>
      </c>
      <c r="Q491" s="116">
        <v>357000</v>
      </c>
      <c r="R491" s="116"/>
      <c r="S491" s="116">
        <v>178500</v>
      </c>
      <c r="T491" s="116"/>
      <c r="U491" s="116"/>
      <c r="V491" s="17">
        <f t="shared" si="66"/>
        <v>0</v>
      </c>
      <c r="W491" s="17"/>
    </row>
    <row r="492" spans="1:23" ht="60" customHeight="1" hidden="1">
      <c r="A492" s="134"/>
      <c r="B492" s="134"/>
      <c r="C492" s="134"/>
      <c r="D492" s="146"/>
      <c r="E492" s="16" t="s">
        <v>255</v>
      </c>
      <c r="F492" s="68">
        <f t="shared" si="74"/>
        <v>0</v>
      </c>
      <c r="G492" s="76">
        <v>1</v>
      </c>
      <c r="H492" s="68">
        <f t="shared" si="73"/>
        <v>0</v>
      </c>
      <c r="I492" s="30">
        <f>30000-30000</f>
        <v>0</v>
      </c>
      <c r="J492" s="116"/>
      <c r="K492" s="116"/>
      <c r="L492" s="116"/>
      <c r="M492" s="116"/>
      <c r="N492" s="116"/>
      <c r="O492" s="116"/>
      <c r="P492" s="116">
        <f>3000-3000</f>
        <v>0</v>
      </c>
      <c r="Q492" s="116">
        <f>18000-18000</f>
        <v>0</v>
      </c>
      <c r="R492" s="116">
        <f>9000-9000</f>
        <v>0</v>
      </c>
      <c r="S492" s="116"/>
      <c r="T492" s="116"/>
      <c r="U492" s="116"/>
      <c r="V492" s="17">
        <f t="shared" si="66"/>
        <v>0</v>
      </c>
      <c r="W492" s="17"/>
    </row>
    <row r="493" spans="1:23" ht="57" customHeight="1" hidden="1">
      <c r="A493" s="134"/>
      <c r="B493" s="134"/>
      <c r="C493" s="134"/>
      <c r="D493" s="146"/>
      <c r="E493" s="16" t="s">
        <v>256</v>
      </c>
      <c r="F493" s="68">
        <f t="shared" si="74"/>
        <v>0</v>
      </c>
      <c r="G493" s="76">
        <v>1</v>
      </c>
      <c r="H493" s="68">
        <f t="shared" si="73"/>
        <v>0</v>
      </c>
      <c r="I493" s="30">
        <f>30000-30000</f>
        <v>0</v>
      </c>
      <c r="J493" s="116"/>
      <c r="K493" s="116"/>
      <c r="L493" s="116"/>
      <c r="M493" s="116"/>
      <c r="N493" s="116"/>
      <c r="O493" s="116"/>
      <c r="P493" s="116">
        <f>3000-3000</f>
        <v>0</v>
      </c>
      <c r="Q493" s="116">
        <f>18000-18000</f>
        <v>0</v>
      </c>
      <c r="R493" s="116">
        <f>9000-9000</f>
        <v>0</v>
      </c>
      <c r="S493" s="116"/>
      <c r="T493" s="116"/>
      <c r="U493" s="116"/>
      <c r="V493" s="17">
        <f t="shared" si="66"/>
        <v>0</v>
      </c>
      <c r="W493" s="17"/>
    </row>
    <row r="494" spans="1:23" ht="60.75" customHeight="1" hidden="1">
      <c r="A494" s="134"/>
      <c r="B494" s="134"/>
      <c r="C494" s="134"/>
      <c r="D494" s="146"/>
      <c r="E494" s="16" t="s">
        <v>924</v>
      </c>
      <c r="F494" s="68">
        <f t="shared" si="74"/>
        <v>0</v>
      </c>
      <c r="G494" s="76">
        <v>1</v>
      </c>
      <c r="H494" s="68">
        <f t="shared" si="73"/>
        <v>0</v>
      </c>
      <c r="I494" s="30">
        <f>50000-50000</f>
        <v>0</v>
      </c>
      <c r="J494" s="116"/>
      <c r="K494" s="116"/>
      <c r="L494" s="116"/>
      <c r="M494" s="116"/>
      <c r="N494" s="116"/>
      <c r="O494" s="116"/>
      <c r="P494" s="116">
        <f>5000-5000</f>
        <v>0</v>
      </c>
      <c r="Q494" s="116">
        <f>30000-30000</f>
        <v>0</v>
      </c>
      <c r="R494" s="116">
        <f>15000-15000</f>
        <v>0</v>
      </c>
      <c r="S494" s="116"/>
      <c r="T494" s="116"/>
      <c r="U494" s="116"/>
      <c r="V494" s="17">
        <f t="shared" si="66"/>
        <v>0</v>
      </c>
      <c r="W494" s="17"/>
    </row>
    <row r="495" spans="1:23" ht="75">
      <c r="A495" s="134"/>
      <c r="B495" s="134"/>
      <c r="C495" s="134"/>
      <c r="D495" s="146"/>
      <c r="E495" s="16" t="s">
        <v>925</v>
      </c>
      <c r="F495" s="68">
        <f t="shared" si="74"/>
        <v>20000</v>
      </c>
      <c r="G495" s="76">
        <v>1</v>
      </c>
      <c r="H495" s="68">
        <f t="shared" si="73"/>
        <v>20000</v>
      </c>
      <c r="I495" s="30">
        <v>20000</v>
      </c>
      <c r="J495" s="116"/>
      <c r="K495" s="116"/>
      <c r="L495" s="116"/>
      <c r="M495" s="116"/>
      <c r="N495" s="116"/>
      <c r="O495" s="116"/>
      <c r="P495" s="116"/>
      <c r="Q495" s="116"/>
      <c r="R495" s="116">
        <v>20000</v>
      </c>
      <c r="S495" s="116"/>
      <c r="T495" s="116"/>
      <c r="U495" s="116"/>
      <c r="V495" s="17">
        <f t="shared" si="66"/>
        <v>0</v>
      </c>
      <c r="W495" s="17"/>
    </row>
    <row r="496" spans="1:23" ht="75">
      <c r="A496" s="134"/>
      <c r="B496" s="134"/>
      <c r="C496" s="134"/>
      <c r="D496" s="146"/>
      <c r="E496" s="16" t="s">
        <v>450</v>
      </c>
      <c r="F496" s="68">
        <f t="shared" si="74"/>
        <v>20000</v>
      </c>
      <c r="G496" s="76">
        <v>1</v>
      </c>
      <c r="H496" s="68">
        <f t="shared" si="73"/>
        <v>20000</v>
      </c>
      <c r="I496" s="30">
        <v>20000</v>
      </c>
      <c r="J496" s="116"/>
      <c r="K496" s="116"/>
      <c r="L496" s="116"/>
      <c r="M496" s="116"/>
      <c r="N496" s="116"/>
      <c r="O496" s="116"/>
      <c r="P496" s="116"/>
      <c r="Q496" s="116"/>
      <c r="R496" s="116">
        <v>20000</v>
      </c>
      <c r="S496" s="116"/>
      <c r="T496" s="116"/>
      <c r="U496" s="116"/>
      <c r="V496" s="17">
        <f t="shared" si="66"/>
        <v>0</v>
      </c>
      <c r="W496" s="17"/>
    </row>
    <row r="497" spans="1:23" ht="75">
      <c r="A497" s="134"/>
      <c r="B497" s="134"/>
      <c r="C497" s="134"/>
      <c r="D497" s="146"/>
      <c r="E497" s="16" t="s">
        <v>451</v>
      </c>
      <c r="F497" s="68">
        <f t="shared" si="74"/>
        <v>20000</v>
      </c>
      <c r="G497" s="76">
        <v>1</v>
      </c>
      <c r="H497" s="68">
        <f t="shared" si="73"/>
        <v>20000</v>
      </c>
      <c r="I497" s="30">
        <v>20000</v>
      </c>
      <c r="J497" s="116"/>
      <c r="K497" s="116"/>
      <c r="L497" s="116"/>
      <c r="M497" s="116"/>
      <c r="N497" s="116"/>
      <c r="O497" s="116"/>
      <c r="P497" s="116"/>
      <c r="Q497" s="116"/>
      <c r="R497" s="116">
        <v>20000</v>
      </c>
      <c r="S497" s="116"/>
      <c r="T497" s="116"/>
      <c r="U497" s="116"/>
      <c r="V497" s="17">
        <f t="shared" si="66"/>
        <v>0</v>
      </c>
      <c r="W497" s="17"/>
    </row>
    <row r="498" spans="1:23" ht="59.25" customHeight="1">
      <c r="A498" s="134"/>
      <c r="B498" s="134"/>
      <c r="C498" s="134"/>
      <c r="D498" s="146"/>
      <c r="E498" s="16" t="s">
        <v>515</v>
      </c>
      <c r="F498" s="68">
        <f t="shared" si="74"/>
        <v>20000</v>
      </c>
      <c r="G498" s="76">
        <v>1</v>
      </c>
      <c r="H498" s="68">
        <f t="shared" si="73"/>
        <v>20000</v>
      </c>
      <c r="I498" s="30">
        <v>20000</v>
      </c>
      <c r="J498" s="116"/>
      <c r="K498" s="116"/>
      <c r="L498" s="116"/>
      <c r="M498" s="116"/>
      <c r="N498" s="116"/>
      <c r="O498" s="116"/>
      <c r="P498" s="116"/>
      <c r="Q498" s="116"/>
      <c r="R498" s="116">
        <v>20000</v>
      </c>
      <c r="S498" s="116"/>
      <c r="T498" s="116"/>
      <c r="U498" s="116"/>
      <c r="V498" s="17">
        <f t="shared" si="66"/>
        <v>0</v>
      </c>
      <c r="W498" s="17"/>
    </row>
    <row r="499" spans="1:23" ht="59.25" customHeight="1">
      <c r="A499" s="134"/>
      <c r="B499" s="134"/>
      <c r="C499" s="134"/>
      <c r="D499" s="146"/>
      <c r="E499" s="16" t="s">
        <v>543</v>
      </c>
      <c r="F499" s="68">
        <f t="shared" si="74"/>
        <v>20000</v>
      </c>
      <c r="G499" s="76">
        <v>1</v>
      </c>
      <c r="H499" s="68">
        <f t="shared" si="73"/>
        <v>20000</v>
      </c>
      <c r="I499" s="30">
        <v>20000</v>
      </c>
      <c r="J499" s="116"/>
      <c r="K499" s="116"/>
      <c r="L499" s="116"/>
      <c r="M499" s="116"/>
      <c r="N499" s="116"/>
      <c r="O499" s="116"/>
      <c r="P499" s="116"/>
      <c r="Q499" s="116">
        <v>20000</v>
      </c>
      <c r="R499" s="116"/>
      <c r="S499" s="116"/>
      <c r="T499" s="116"/>
      <c r="U499" s="116"/>
      <c r="V499" s="17">
        <f t="shared" si="66"/>
        <v>0</v>
      </c>
      <c r="W499" s="17"/>
    </row>
    <row r="500" spans="1:23" ht="59.25" customHeight="1">
      <c r="A500" s="134"/>
      <c r="B500" s="134"/>
      <c r="C500" s="134"/>
      <c r="D500" s="146"/>
      <c r="E500" s="16" t="s">
        <v>544</v>
      </c>
      <c r="F500" s="68">
        <f t="shared" si="74"/>
        <v>20000</v>
      </c>
      <c r="G500" s="76">
        <v>1</v>
      </c>
      <c r="H500" s="68">
        <f t="shared" si="73"/>
        <v>20000</v>
      </c>
      <c r="I500" s="30">
        <v>20000</v>
      </c>
      <c r="J500" s="116"/>
      <c r="K500" s="116"/>
      <c r="L500" s="116"/>
      <c r="M500" s="116"/>
      <c r="N500" s="116"/>
      <c r="O500" s="116"/>
      <c r="P500" s="116"/>
      <c r="Q500" s="116">
        <v>20000</v>
      </c>
      <c r="R500" s="116"/>
      <c r="S500" s="116"/>
      <c r="T500" s="116"/>
      <c r="U500" s="116"/>
      <c r="V500" s="17">
        <f t="shared" si="66"/>
        <v>0</v>
      </c>
      <c r="W500" s="17"/>
    </row>
    <row r="501" spans="1:23" ht="54" hidden="1">
      <c r="A501" s="134"/>
      <c r="B501" s="134"/>
      <c r="C501" s="134"/>
      <c r="D501" s="146"/>
      <c r="E501" s="16" t="s">
        <v>545</v>
      </c>
      <c r="F501" s="68">
        <f t="shared" si="74"/>
        <v>0</v>
      </c>
      <c r="G501" s="76">
        <v>1</v>
      </c>
      <c r="H501" s="68">
        <f t="shared" si="73"/>
        <v>0</v>
      </c>
      <c r="I501" s="30">
        <f>100000-100000</f>
        <v>0</v>
      </c>
      <c r="J501" s="116"/>
      <c r="K501" s="116"/>
      <c r="L501" s="116"/>
      <c r="M501" s="116"/>
      <c r="N501" s="116"/>
      <c r="O501" s="116"/>
      <c r="P501" s="116"/>
      <c r="Q501" s="116">
        <f>8000-8000</f>
        <v>0</v>
      </c>
      <c r="R501" s="116">
        <f>46000-46000</f>
        <v>0</v>
      </c>
      <c r="S501" s="116">
        <f>23000-23000</f>
        <v>0</v>
      </c>
      <c r="T501" s="116">
        <f>23000-23000</f>
        <v>0</v>
      </c>
      <c r="U501" s="116"/>
      <c r="V501" s="17">
        <f>I501-J501-K501-L501-M501-N501-O501-P501-Q501-R501-S501-T501-U501</f>
        <v>0</v>
      </c>
      <c r="W501" s="17"/>
    </row>
    <row r="502" spans="1:23" ht="54" hidden="1">
      <c r="A502" s="134"/>
      <c r="B502" s="134"/>
      <c r="C502" s="134"/>
      <c r="D502" s="146"/>
      <c r="E502" s="16" t="s">
        <v>546</v>
      </c>
      <c r="F502" s="68">
        <f t="shared" si="74"/>
        <v>0</v>
      </c>
      <c r="G502" s="76">
        <v>1</v>
      </c>
      <c r="H502" s="68">
        <f t="shared" si="73"/>
        <v>0</v>
      </c>
      <c r="I502" s="30">
        <f>100000-100000</f>
        <v>0</v>
      </c>
      <c r="J502" s="116"/>
      <c r="K502" s="116"/>
      <c r="L502" s="116"/>
      <c r="M502" s="116"/>
      <c r="N502" s="116"/>
      <c r="O502" s="116"/>
      <c r="P502" s="116"/>
      <c r="Q502" s="116">
        <f>8000-8000</f>
        <v>0</v>
      </c>
      <c r="R502" s="116">
        <f>46000-46000</f>
        <v>0</v>
      </c>
      <c r="S502" s="116">
        <f>23000-23000</f>
        <v>0</v>
      </c>
      <c r="T502" s="116">
        <f>23000-23000</f>
        <v>0</v>
      </c>
      <c r="U502" s="116"/>
      <c r="V502" s="17">
        <f>I502-J502-K502-L502-M502-N502-O502-P502-Q502-R502-S502-T502-U502</f>
        <v>0</v>
      </c>
      <c r="W502" s="17"/>
    </row>
    <row r="503" spans="1:23" ht="56.25">
      <c r="A503" s="134"/>
      <c r="B503" s="134"/>
      <c r="C503" s="134"/>
      <c r="D503" s="146"/>
      <c r="E503" s="16" t="s">
        <v>1096</v>
      </c>
      <c r="F503" s="68"/>
      <c r="G503" s="76"/>
      <c r="H503" s="68"/>
      <c r="I503" s="30">
        <v>60000</v>
      </c>
      <c r="J503" s="116"/>
      <c r="K503" s="116"/>
      <c r="L503" s="116"/>
      <c r="M503" s="116"/>
      <c r="N503" s="116"/>
      <c r="O503" s="116"/>
      <c r="P503" s="116">
        <v>60000</v>
      </c>
      <c r="Q503" s="116"/>
      <c r="R503" s="116"/>
      <c r="S503" s="116"/>
      <c r="T503" s="116"/>
      <c r="U503" s="116"/>
      <c r="V503" s="17">
        <f>I503-J503-K503-L503-M503-N503-O503-P503-Q503-R503-S503-T503-U503</f>
        <v>0</v>
      </c>
      <c r="W503" s="17"/>
    </row>
    <row r="504" spans="1:23" ht="56.25">
      <c r="A504" s="133"/>
      <c r="B504" s="133"/>
      <c r="C504" s="133"/>
      <c r="D504" s="135"/>
      <c r="E504" s="16" t="s">
        <v>976</v>
      </c>
      <c r="F504" s="68">
        <f t="shared" si="74"/>
        <v>300000</v>
      </c>
      <c r="G504" s="76">
        <v>1</v>
      </c>
      <c r="H504" s="68">
        <f t="shared" si="73"/>
        <v>300000</v>
      </c>
      <c r="I504" s="30">
        <v>300000</v>
      </c>
      <c r="J504" s="116"/>
      <c r="K504" s="116"/>
      <c r="L504" s="116"/>
      <c r="M504" s="116"/>
      <c r="N504" s="116"/>
      <c r="O504" s="116"/>
      <c r="P504" s="116"/>
      <c r="Q504" s="116">
        <v>24000</v>
      </c>
      <c r="R504" s="116">
        <v>138000</v>
      </c>
      <c r="S504" s="116">
        <v>69000</v>
      </c>
      <c r="T504" s="116">
        <v>69000</v>
      </c>
      <c r="U504" s="116"/>
      <c r="V504" s="17">
        <f t="shared" si="66"/>
        <v>0</v>
      </c>
      <c r="W504" s="17"/>
    </row>
    <row r="505" spans="1:23" ht="18.75">
      <c r="A505" s="132" t="s">
        <v>933</v>
      </c>
      <c r="B505" s="132" t="s">
        <v>932</v>
      </c>
      <c r="C505" s="132" t="s">
        <v>116</v>
      </c>
      <c r="D505" s="148" t="s">
        <v>861</v>
      </c>
      <c r="E505" s="16"/>
      <c r="F505" s="16"/>
      <c r="G505" s="16"/>
      <c r="H505" s="16"/>
      <c r="I505" s="35">
        <f>SUM(I506:I506)</f>
        <v>6800000</v>
      </c>
      <c r="J505" s="35">
        <f aca="true" t="shared" si="76" ref="J505:W505">SUM(J506:J506)</f>
        <v>0</v>
      </c>
      <c r="K505" s="35">
        <f t="shared" si="76"/>
        <v>0</v>
      </c>
      <c r="L505" s="35">
        <f t="shared" si="76"/>
        <v>0</v>
      </c>
      <c r="M505" s="35">
        <f t="shared" si="76"/>
        <v>500000</v>
      </c>
      <c r="N505" s="35">
        <f t="shared" si="76"/>
        <v>-29450</v>
      </c>
      <c r="O505" s="35">
        <f t="shared" si="76"/>
        <v>27451</v>
      </c>
      <c r="P505" s="35">
        <f t="shared" si="76"/>
        <v>0</v>
      </c>
      <c r="Q505" s="35">
        <f t="shared" si="76"/>
        <v>500000</v>
      </c>
      <c r="R505" s="35">
        <f t="shared" si="76"/>
        <v>0</v>
      </c>
      <c r="S505" s="35">
        <f t="shared" si="76"/>
        <v>1472549</v>
      </c>
      <c r="T505" s="35">
        <f t="shared" si="76"/>
        <v>2379450</v>
      </c>
      <c r="U505" s="35">
        <f t="shared" si="76"/>
        <v>1950000</v>
      </c>
      <c r="V505" s="35">
        <f t="shared" si="76"/>
        <v>0</v>
      </c>
      <c r="W505" s="35">
        <f t="shared" si="76"/>
        <v>467883.55000000005</v>
      </c>
    </row>
    <row r="506" spans="1:23" ht="96" customHeight="1">
      <c r="A506" s="134"/>
      <c r="B506" s="133"/>
      <c r="C506" s="134"/>
      <c r="D506" s="148"/>
      <c r="E506" s="16" t="s">
        <v>547</v>
      </c>
      <c r="F506" s="68">
        <f>I506</f>
        <v>6800000</v>
      </c>
      <c r="G506" s="76">
        <v>1</v>
      </c>
      <c r="H506" s="68">
        <f t="shared" si="73"/>
        <v>6800000</v>
      </c>
      <c r="I506" s="24">
        <v>6800000</v>
      </c>
      <c r="J506" s="17"/>
      <c r="K506" s="17"/>
      <c r="L506" s="17"/>
      <c r="M506" s="17">
        <v>500000</v>
      </c>
      <c r="N506" s="17">
        <f>500000-529450</f>
        <v>-29450</v>
      </c>
      <c r="O506" s="17">
        <v>27451</v>
      </c>
      <c r="P506" s="17"/>
      <c r="Q506" s="17">
        <v>500000</v>
      </c>
      <c r="R506" s="17"/>
      <c r="S506" s="17">
        <f>1500000-27451</f>
        <v>1472549</v>
      </c>
      <c r="T506" s="17">
        <f>1850000+529450</f>
        <v>2379450</v>
      </c>
      <c r="U506" s="17">
        <v>1950000</v>
      </c>
      <c r="V506" s="17">
        <f t="shared" si="66"/>
        <v>0</v>
      </c>
      <c r="W506" s="17">
        <f>95490.5+24286.92+42550.68+206494.73+99060.72</f>
        <v>467883.55000000005</v>
      </c>
    </row>
    <row r="507" spans="1:23" ht="18.75">
      <c r="A507" s="132" t="s">
        <v>232</v>
      </c>
      <c r="B507" s="132" t="s">
        <v>985</v>
      </c>
      <c r="C507" s="132" t="s">
        <v>480</v>
      </c>
      <c r="D507" s="145" t="s">
        <v>231</v>
      </c>
      <c r="E507" s="16"/>
      <c r="F507" s="16"/>
      <c r="G507" s="16"/>
      <c r="H507" s="16"/>
      <c r="I507" s="35">
        <f>SUM(I508:I574)</f>
        <v>19367200</v>
      </c>
      <c r="J507" s="35">
        <f aca="true" t="shared" si="77" ref="J507:W507">SUM(J508:J574)</f>
        <v>0</v>
      </c>
      <c r="K507" s="35">
        <f t="shared" si="77"/>
        <v>1260000</v>
      </c>
      <c r="L507" s="35">
        <f t="shared" si="77"/>
        <v>3068060</v>
      </c>
      <c r="M507" s="35">
        <f t="shared" si="77"/>
        <v>4462200</v>
      </c>
      <c r="N507" s="35">
        <f t="shared" si="77"/>
        <v>-245120</v>
      </c>
      <c r="O507" s="35">
        <f t="shared" si="77"/>
        <v>1088100</v>
      </c>
      <c r="P507" s="35">
        <f t="shared" si="77"/>
        <v>4543445.34</v>
      </c>
      <c r="Q507" s="35">
        <f t="shared" si="77"/>
        <v>2776443.34</v>
      </c>
      <c r="R507" s="35">
        <f t="shared" si="77"/>
        <v>699552.34</v>
      </c>
      <c r="S507" s="35">
        <f t="shared" si="77"/>
        <v>1074226.98</v>
      </c>
      <c r="T507" s="35">
        <f t="shared" si="77"/>
        <v>192798</v>
      </c>
      <c r="U507" s="35">
        <f t="shared" si="77"/>
        <v>447494</v>
      </c>
      <c r="V507" s="35">
        <f t="shared" si="77"/>
        <v>0</v>
      </c>
      <c r="W507" s="35">
        <f t="shared" si="77"/>
        <v>3129540.0599999996</v>
      </c>
    </row>
    <row r="508" spans="1:23" ht="44.25" customHeight="1">
      <c r="A508" s="134"/>
      <c r="B508" s="134"/>
      <c r="C508" s="134"/>
      <c r="D508" s="146"/>
      <c r="E508" s="44" t="s">
        <v>520</v>
      </c>
      <c r="F508" s="68">
        <f>I508</f>
        <v>20000</v>
      </c>
      <c r="G508" s="76">
        <v>1</v>
      </c>
      <c r="H508" s="68">
        <f t="shared" si="73"/>
        <v>20000</v>
      </c>
      <c r="I508" s="30">
        <v>20000</v>
      </c>
      <c r="J508" s="17"/>
      <c r="K508" s="17"/>
      <c r="L508" s="17"/>
      <c r="M508" s="17"/>
      <c r="N508" s="17"/>
      <c r="O508" s="17"/>
      <c r="P508" s="17"/>
      <c r="Q508" s="17"/>
      <c r="R508" s="17">
        <v>2000</v>
      </c>
      <c r="S508" s="17">
        <v>14000</v>
      </c>
      <c r="T508" s="17"/>
      <c r="U508" s="17">
        <v>4000</v>
      </c>
      <c r="V508" s="17">
        <f t="shared" si="66"/>
        <v>0</v>
      </c>
      <c r="W508" s="17"/>
    </row>
    <row r="509" spans="1:23" ht="45.75" customHeight="1">
      <c r="A509" s="134"/>
      <c r="B509" s="134"/>
      <c r="C509" s="134"/>
      <c r="D509" s="146"/>
      <c r="E509" s="44" t="s">
        <v>521</v>
      </c>
      <c r="F509" s="68">
        <f aca="true" t="shared" si="78" ref="F509:F574">I509</f>
        <v>20000</v>
      </c>
      <c r="G509" s="76">
        <v>1</v>
      </c>
      <c r="H509" s="68">
        <f t="shared" si="73"/>
        <v>20000</v>
      </c>
      <c r="I509" s="30">
        <v>20000</v>
      </c>
      <c r="J509" s="17"/>
      <c r="K509" s="17"/>
      <c r="L509" s="17"/>
      <c r="M509" s="17"/>
      <c r="N509" s="17"/>
      <c r="O509" s="17"/>
      <c r="P509" s="17"/>
      <c r="Q509" s="17"/>
      <c r="R509" s="17">
        <v>2000</v>
      </c>
      <c r="S509" s="17">
        <v>14000</v>
      </c>
      <c r="T509" s="17"/>
      <c r="U509" s="17">
        <v>4000</v>
      </c>
      <c r="V509" s="17">
        <f t="shared" si="66"/>
        <v>0</v>
      </c>
      <c r="W509" s="17"/>
    </row>
    <row r="510" spans="1:23" ht="150">
      <c r="A510" s="134"/>
      <c r="B510" s="134"/>
      <c r="C510" s="134"/>
      <c r="D510" s="146"/>
      <c r="E510" s="44" t="s">
        <v>1119</v>
      </c>
      <c r="F510" s="68">
        <f t="shared" si="78"/>
        <v>270000</v>
      </c>
      <c r="G510" s="76">
        <v>1</v>
      </c>
      <c r="H510" s="68">
        <f t="shared" si="73"/>
        <v>270000</v>
      </c>
      <c r="I510" s="30">
        <v>270000</v>
      </c>
      <c r="J510" s="17"/>
      <c r="K510" s="17">
        <v>270000</v>
      </c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>
        <f t="shared" si="66"/>
        <v>0</v>
      </c>
      <c r="W510" s="17"/>
    </row>
    <row r="511" spans="1:23" ht="75">
      <c r="A511" s="134"/>
      <c r="B511" s="134"/>
      <c r="C511" s="134"/>
      <c r="D511" s="146"/>
      <c r="E511" s="44" t="s">
        <v>292</v>
      </c>
      <c r="F511" s="68">
        <f t="shared" si="78"/>
        <v>150000</v>
      </c>
      <c r="G511" s="76">
        <v>1</v>
      </c>
      <c r="H511" s="68">
        <f t="shared" si="73"/>
        <v>150000</v>
      </c>
      <c r="I511" s="30">
        <v>150000</v>
      </c>
      <c r="J511" s="17"/>
      <c r="K511" s="17"/>
      <c r="L511" s="17"/>
      <c r="M511" s="17"/>
      <c r="N511" s="17"/>
      <c r="O511" s="17"/>
      <c r="P511" s="17"/>
      <c r="Q511" s="17"/>
      <c r="R511" s="17">
        <v>15000</v>
      </c>
      <c r="S511" s="17">
        <v>105000</v>
      </c>
      <c r="T511" s="17"/>
      <c r="U511" s="17">
        <v>30000</v>
      </c>
      <c r="V511" s="17">
        <f aca="true" t="shared" si="79" ref="V511:V586">I511-J511-K511-L511-M511-N511-O511-P511-Q511-R511-S511-T511-U511</f>
        <v>0</v>
      </c>
      <c r="W511" s="17"/>
    </row>
    <row r="512" spans="1:23" ht="56.25">
      <c r="A512" s="134"/>
      <c r="B512" s="134"/>
      <c r="C512" s="134"/>
      <c r="D512" s="146"/>
      <c r="E512" s="44" t="s">
        <v>293</v>
      </c>
      <c r="F512" s="68">
        <f t="shared" si="78"/>
        <v>80000</v>
      </c>
      <c r="G512" s="76">
        <v>1</v>
      </c>
      <c r="H512" s="68">
        <f t="shared" si="73"/>
        <v>80000</v>
      </c>
      <c r="I512" s="30">
        <v>80000</v>
      </c>
      <c r="J512" s="17"/>
      <c r="K512" s="17"/>
      <c r="L512" s="17"/>
      <c r="M512" s="17"/>
      <c r="N512" s="17"/>
      <c r="O512" s="17"/>
      <c r="P512" s="17"/>
      <c r="Q512" s="17"/>
      <c r="R512" s="17">
        <v>8000</v>
      </c>
      <c r="S512" s="17">
        <v>56000</v>
      </c>
      <c r="T512" s="17"/>
      <c r="U512" s="17">
        <v>16000</v>
      </c>
      <c r="V512" s="17">
        <f t="shared" si="79"/>
        <v>0</v>
      </c>
      <c r="W512" s="17"/>
    </row>
    <row r="513" spans="1:23" ht="75">
      <c r="A513" s="134"/>
      <c r="B513" s="134"/>
      <c r="C513" s="134"/>
      <c r="D513" s="146"/>
      <c r="E513" s="44" t="s">
        <v>306</v>
      </c>
      <c r="F513" s="68">
        <f t="shared" si="78"/>
        <v>45000</v>
      </c>
      <c r="G513" s="76"/>
      <c r="H513" s="68">
        <f t="shared" si="73"/>
        <v>45000</v>
      </c>
      <c r="I513" s="30">
        <v>45000</v>
      </c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>
        <v>45000</v>
      </c>
      <c r="V513" s="17">
        <f>I513-J513-K513-L513-M513-N513-O513-P513-Q513-R513-S513-T513-U513</f>
        <v>0</v>
      </c>
      <c r="W513" s="17"/>
    </row>
    <row r="514" spans="1:23" ht="75">
      <c r="A514" s="134"/>
      <c r="B514" s="134"/>
      <c r="C514" s="134"/>
      <c r="D514" s="146"/>
      <c r="E514" s="44" t="s">
        <v>296</v>
      </c>
      <c r="F514" s="68">
        <f t="shared" si="78"/>
        <v>194000</v>
      </c>
      <c r="G514" s="76"/>
      <c r="H514" s="68">
        <f t="shared" si="73"/>
        <v>194000</v>
      </c>
      <c r="I514" s="30">
        <v>194000</v>
      </c>
      <c r="J514" s="17"/>
      <c r="K514" s="17"/>
      <c r="L514" s="17"/>
      <c r="M514" s="17">
        <v>104760</v>
      </c>
      <c r="N514" s="17"/>
      <c r="O514" s="17"/>
      <c r="P514" s="17">
        <v>89240</v>
      </c>
      <c r="Q514" s="17"/>
      <c r="R514" s="17"/>
      <c r="S514" s="17"/>
      <c r="T514" s="17"/>
      <c r="U514" s="17"/>
      <c r="V514" s="17">
        <f>I514-J514-K514-L514-M514-N514-O514-P514-Q514-R514-S514-T514-U514</f>
        <v>0</v>
      </c>
      <c r="W514" s="17"/>
    </row>
    <row r="515" spans="1:23" ht="37.5">
      <c r="A515" s="134"/>
      <c r="B515" s="134"/>
      <c r="C515" s="134"/>
      <c r="D515" s="146"/>
      <c r="E515" s="44" t="s">
        <v>656</v>
      </c>
      <c r="F515" s="68">
        <f t="shared" si="78"/>
        <v>627000</v>
      </c>
      <c r="G515" s="76">
        <v>1</v>
      </c>
      <c r="H515" s="68">
        <f t="shared" si="73"/>
        <v>627000</v>
      </c>
      <c r="I515" s="30">
        <v>627000</v>
      </c>
      <c r="J515" s="17"/>
      <c r="K515" s="17"/>
      <c r="L515" s="17">
        <v>627000</v>
      </c>
      <c r="M515" s="17"/>
      <c r="N515" s="17"/>
      <c r="O515" s="17"/>
      <c r="P515" s="17"/>
      <c r="Q515" s="17"/>
      <c r="R515" s="17"/>
      <c r="S515" s="17"/>
      <c r="T515" s="17"/>
      <c r="U515" s="17"/>
      <c r="V515" s="17">
        <f t="shared" si="79"/>
        <v>0</v>
      </c>
      <c r="W515" s="17">
        <f>10631.39+24806.59</f>
        <v>35437.979999999996</v>
      </c>
    </row>
    <row r="516" spans="1:23" ht="36" hidden="1">
      <c r="A516" s="134"/>
      <c r="B516" s="134"/>
      <c r="C516" s="134"/>
      <c r="D516" s="146"/>
      <c r="E516" s="44" t="s">
        <v>182</v>
      </c>
      <c r="F516" s="68">
        <f t="shared" si="78"/>
        <v>0</v>
      </c>
      <c r="G516" s="76">
        <v>1</v>
      </c>
      <c r="H516" s="68">
        <f t="shared" si="73"/>
        <v>0</v>
      </c>
      <c r="I516" s="30">
        <f>300000-200000-100000</f>
        <v>0</v>
      </c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>
        <f>300000-200000-100000</f>
        <v>0</v>
      </c>
      <c r="U516" s="17"/>
      <c r="V516" s="17">
        <f aca="true" t="shared" si="80" ref="V516:V522">I516-J516-K516-L516-M516-N516-O516-P516-Q516-R516-S516-T516-U516</f>
        <v>0</v>
      </c>
      <c r="W516" s="17"/>
    </row>
    <row r="517" spans="1:23" ht="75">
      <c r="A517" s="134"/>
      <c r="B517" s="134"/>
      <c r="C517" s="134"/>
      <c r="D517" s="146"/>
      <c r="E517" s="44" t="s">
        <v>720</v>
      </c>
      <c r="F517" s="68"/>
      <c r="G517" s="76"/>
      <c r="H517" s="68"/>
      <c r="I517" s="30">
        <v>3600000</v>
      </c>
      <c r="J517" s="17"/>
      <c r="K517" s="17"/>
      <c r="L517" s="17">
        <v>100000</v>
      </c>
      <c r="M517" s="17"/>
      <c r="N517" s="17"/>
      <c r="O517" s="17"/>
      <c r="P517" s="17">
        <v>1700000</v>
      </c>
      <c r="Q517" s="17">
        <v>1800000</v>
      </c>
      <c r="R517" s="17"/>
      <c r="S517" s="17"/>
      <c r="T517" s="17"/>
      <c r="U517" s="17"/>
      <c r="V517" s="17">
        <f t="shared" si="80"/>
        <v>0</v>
      </c>
      <c r="W517" s="17">
        <f>69207.89</f>
        <v>69207.89</v>
      </c>
    </row>
    <row r="518" spans="1:23" ht="135.75" customHeight="1" hidden="1">
      <c r="A518" s="134"/>
      <c r="B518" s="134"/>
      <c r="C518" s="134"/>
      <c r="D518" s="146"/>
      <c r="E518" s="44" t="s">
        <v>408</v>
      </c>
      <c r="F518" s="68">
        <f t="shared" si="78"/>
        <v>0</v>
      </c>
      <c r="G518" s="76">
        <v>1</v>
      </c>
      <c r="H518" s="68">
        <f t="shared" si="73"/>
        <v>0</v>
      </c>
      <c r="I518" s="30">
        <f>990000-990000</f>
        <v>0</v>
      </c>
      <c r="J518" s="17"/>
      <c r="K518" s="17">
        <v>990000</v>
      </c>
      <c r="L518" s="17"/>
      <c r="M518" s="17">
        <v>-990000</v>
      </c>
      <c r="N518" s="17"/>
      <c r="O518" s="17"/>
      <c r="P518" s="17"/>
      <c r="Q518" s="17"/>
      <c r="R518" s="17"/>
      <c r="S518" s="17"/>
      <c r="T518" s="17"/>
      <c r="U518" s="17"/>
      <c r="V518" s="17">
        <f t="shared" si="80"/>
        <v>0</v>
      </c>
      <c r="W518" s="17"/>
    </row>
    <row r="519" spans="1:23" ht="37.5">
      <c r="A519" s="134"/>
      <c r="B519" s="134"/>
      <c r="C519" s="134"/>
      <c r="D519" s="146"/>
      <c r="E519" s="44" t="s">
        <v>1065</v>
      </c>
      <c r="F519" s="68"/>
      <c r="G519" s="76"/>
      <c r="H519" s="68"/>
      <c r="I519" s="30">
        <f>600000+500000</f>
        <v>1100000</v>
      </c>
      <c r="J519" s="17"/>
      <c r="K519" s="17"/>
      <c r="L519" s="17"/>
      <c r="M519" s="17"/>
      <c r="N519" s="17">
        <f>45000+555000</f>
        <v>600000</v>
      </c>
      <c r="O519" s="17"/>
      <c r="P519" s="17">
        <v>19385.34</v>
      </c>
      <c r="Q519" s="17">
        <f>300000-300000</f>
        <v>0</v>
      </c>
      <c r="R519" s="17">
        <v>51552.34</v>
      </c>
      <c r="S519" s="17">
        <v>134550.98</v>
      </c>
      <c r="T519" s="17">
        <v>37130.66</v>
      </c>
      <c r="U519" s="17">
        <f>300000-45000-255000+257380.68</f>
        <v>257380.68</v>
      </c>
      <c r="V519" s="17">
        <f t="shared" si="80"/>
        <v>0</v>
      </c>
      <c r="W519" s="17">
        <f>13324.96+543023.67</f>
        <v>556348.63</v>
      </c>
    </row>
    <row r="520" spans="1:23" ht="56.25">
      <c r="A520" s="134"/>
      <c r="B520" s="134"/>
      <c r="C520" s="134"/>
      <c r="D520" s="146"/>
      <c r="E520" s="44" t="s">
        <v>1099</v>
      </c>
      <c r="F520" s="68"/>
      <c r="G520" s="76"/>
      <c r="H520" s="68"/>
      <c r="I520" s="30">
        <v>180000</v>
      </c>
      <c r="J520" s="17"/>
      <c r="K520" s="17"/>
      <c r="L520" s="17"/>
      <c r="M520" s="17"/>
      <c r="N520" s="17"/>
      <c r="O520" s="17"/>
      <c r="P520" s="17">
        <v>18000</v>
      </c>
      <c r="Q520" s="17">
        <v>26443.34</v>
      </c>
      <c r="R520" s="17"/>
      <c r="S520" s="17"/>
      <c r="T520" s="17">
        <v>44443.34</v>
      </c>
      <c r="U520" s="17">
        <v>91113.32</v>
      </c>
      <c r="V520" s="17">
        <f t="shared" si="80"/>
        <v>0</v>
      </c>
      <c r="W520" s="17"/>
    </row>
    <row r="521" spans="1:23" ht="36" hidden="1">
      <c r="A521" s="134"/>
      <c r="B521" s="134"/>
      <c r="C521" s="134"/>
      <c r="D521" s="146"/>
      <c r="E521" s="44" t="s">
        <v>1066</v>
      </c>
      <c r="F521" s="68"/>
      <c r="G521" s="76"/>
      <c r="H521" s="68"/>
      <c r="I521" s="30">
        <f>700000-700000</f>
        <v>0</v>
      </c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>
        <f>700000-700000</f>
        <v>0</v>
      </c>
      <c r="V521" s="17">
        <f t="shared" si="80"/>
        <v>0</v>
      </c>
      <c r="W521" s="17"/>
    </row>
    <row r="522" spans="1:23" ht="56.25">
      <c r="A522" s="134"/>
      <c r="B522" s="134"/>
      <c r="C522" s="134"/>
      <c r="D522" s="146"/>
      <c r="E522" s="44" t="s">
        <v>1076</v>
      </c>
      <c r="F522" s="68"/>
      <c r="G522" s="76"/>
      <c r="H522" s="68"/>
      <c r="I522" s="30">
        <v>1500000</v>
      </c>
      <c r="J522" s="17"/>
      <c r="K522" s="17"/>
      <c r="L522" s="17"/>
      <c r="M522" s="17"/>
      <c r="N522" s="17"/>
      <c r="O522" s="17">
        <v>88100</v>
      </c>
      <c r="P522" s="17"/>
      <c r="Q522" s="17">
        <v>850000</v>
      </c>
      <c r="R522" s="17">
        <v>350000</v>
      </c>
      <c r="S522" s="17">
        <f>300000-88100</f>
        <v>211900</v>
      </c>
      <c r="T522" s="17"/>
      <c r="U522" s="17"/>
      <c r="V522" s="17">
        <f t="shared" si="80"/>
        <v>0</v>
      </c>
      <c r="W522" s="17">
        <v>26405.07</v>
      </c>
    </row>
    <row r="523" spans="1:23" ht="56.25">
      <c r="A523" s="134"/>
      <c r="B523" s="134"/>
      <c r="C523" s="134"/>
      <c r="D523" s="146"/>
      <c r="E523" s="44" t="s">
        <v>1078</v>
      </c>
      <c r="F523" s="68">
        <f t="shared" si="78"/>
        <v>50000</v>
      </c>
      <c r="G523" s="76">
        <v>1</v>
      </c>
      <c r="H523" s="68">
        <f t="shared" si="73"/>
        <v>50000</v>
      </c>
      <c r="I523" s="30">
        <v>50000</v>
      </c>
      <c r="J523" s="17"/>
      <c r="K523" s="17"/>
      <c r="L523" s="17"/>
      <c r="M523" s="17"/>
      <c r="N523" s="17"/>
      <c r="O523" s="17"/>
      <c r="P523" s="17"/>
      <c r="Q523" s="17">
        <v>50000</v>
      </c>
      <c r="R523" s="17"/>
      <c r="S523" s="17"/>
      <c r="T523" s="17"/>
      <c r="U523" s="17"/>
      <c r="V523" s="17">
        <f t="shared" si="79"/>
        <v>0</v>
      </c>
      <c r="W523" s="17"/>
    </row>
    <row r="524" spans="1:23" ht="42" customHeight="1">
      <c r="A524" s="134"/>
      <c r="B524" s="134"/>
      <c r="C524" s="134"/>
      <c r="D524" s="146"/>
      <c r="E524" s="44" t="s">
        <v>294</v>
      </c>
      <c r="F524" s="68">
        <f t="shared" si="78"/>
        <v>50000</v>
      </c>
      <c r="G524" s="76">
        <v>1</v>
      </c>
      <c r="H524" s="68">
        <f t="shared" si="73"/>
        <v>50000</v>
      </c>
      <c r="I524" s="30">
        <v>50000</v>
      </c>
      <c r="J524" s="17"/>
      <c r="K524" s="17"/>
      <c r="L524" s="17"/>
      <c r="M524" s="17"/>
      <c r="N524" s="17"/>
      <c r="O524" s="17"/>
      <c r="P524" s="17"/>
      <c r="Q524" s="17">
        <v>50000</v>
      </c>
      <c r="R524" s="17"/>
      <c r="S524" s="17"/>
      <c r="T524" s="17"/>
      <c r="U524" s="17"/>
      <c r="V524" s="17">
        <f t="shared" si="79"/>
        <v>0</v>
      </c>
      <c r="W524" s="17"/>
    </row>
    <row r="525" spans="1:23" ht="112.5">
      <c r="A525" s="134"/>
      <c r="B525" s="134"/>
      <c r="C525" s="134"/>
      <c r="D525" s="146"/>
      <c r="E525" s="16" t="s">
        <v>160</v>
      </c>
      <c r="F525" s="68">
        <f t="shared" si="78"/>
        <v>58000</v>
      </c>
      <c r="G525" s="76">
        <v>1</v>
      </c>
      <c r="H525" s="68">
        <f t="shared" si="73"/>
        <v>58000</v>
      </c>
      <c r="I525" s="24">
        <v>58000</v>
      </c>
      <c r="J525" s="17"/>
      <c r="K525" s="17"/>
      <c r="L525" s="17">
        <v>5800</v>
      </c>
      <c r="M525" s="17">
        <v>40600</v>
      </c>
      <c r="N525" s="17"/>
      <c r="O525" s="17"/>
      <c r="P525" s="17">
        <v>11600</v>
      </c>
      <c r="Q525" s="17"/>
      <c r="R525" s="17"/>
      <c r="S525" s="17"/>
      <c r="T525" s="17"/>
      <c r="U525" s="17"/>
      <c r="V525" s="17">
        <f t="shared" si="79"/>
        <v>0</v>
      </c>
      <c r="W525" s="17">
        <f>22000+20700</f>
        <v>42700</v>
      </c>
    </row>
    <row r="526" spans="1:23" ht="75">
      <c r="A526" s="134"/>
      <c r="B526" s="134"/>
      <c r="C526" s="134"/>
      <c r="D526" s="146"/>
      <c r="E526" s="16" t="s">
        <v>295</v>
      </c>
      <c r="F526" s="68">
        <f t="shared" si="78"/>
        <v>58000</v>
      </c>
      <c r="G526" s="76">
        <v>1</v>
      </c>
      <c r="H526" s="68">
        <f t="shared" si="73"/>
        <v>58000</v>
      </c>
      <c r="I526" s="24">
        <v>58000</v>
      </c>
      <c r="J526" s="17"/>
      <c r="K526" s="17"/>
      <c r="L526" s="17">
        <f>5800+1700</f>
        <v>7500</v>
      </c>
      <c r="M526" s="17">
        <v>40600</v>
      </c>
      <c r="N526" s="17"/>
      <c r="O526" s="17"/>
      <c r="P526" s="17">
        <f>11600-1700</f>
        <v>9900</v>
      </c>
      <c r="Q526" s="17"/>
      <c r="R526" s="17"/>
      <c r="S526" s="17"/>
      <c r="T526" s="17"/>
      <c r="U526" s="17"/>
      <c r="V526" s="17">
        <f t="shared" si="79"/>
        <v>0</v>
      </c>
      <c r="W526" s="17"/>
    </row>
    <row r="527" spans="1:23" ht="81.75" customHeight="1">
      <c r="A527" s="134"/>
      <c r="B527" s="134"/>
      <c r="C527" s="134"/>
      <c r="D527" s="146"/>
      <c r="E527" s="16" t="s">
        <v>1108</v>
      </c>
      <c r="F527" s="68">
        <f t="shared" si="78"/>
        <v>58000</v>
      </c>
      <c r="G527" s="76">
        <v>1</v>
      </c>
      <c r="H527" s="68">
        <f t="shared" si="73"/>
        <v>58000</v>
      </c>
      <c r="I527" s="24">
        <v>58000</v>
      </c>
      <c r="J527" s="17"/>
      <c r="K527" s="17"/>
      <c r="L527" s="17">
        <f>5800+1700</f>
        <v>7500</v>
      </c>
      <c r="M527" s="17">
        <v>40600</v>
      </c>
      <c r="N527" s="17"/>
      <c r="O527" s="17"/>
      <c r="P527" s="17">
        <f>11600-1700</f>
        <v>9900</v>
      </c>
      <c r="Q527" s="17"/>
      <c r="R527" s="17"/>
      <c r="S527" s="17"/>
      <c r="T527" s="17"/>
      <c r="U527" s="17"/>
      <c r="V527" s="17">
        <f t="shared" si="79"/>
        <v>0</v>
      </c>
      <c r="W527" s="17">
        <v>7500</v>
      </c>
    </row>
    <row r="528" spans="1:23" ht="81.75" customHeight="1">
      <c r="A528" s="134"/>
      <c r="B528" s="134"/>
      <c r="C528" s="134"/>
      <c r="D528" s="146"/>
      <c r="E528" s="16" t="s">
        <v>493</v>
      </c>
      <c r="F528" s="68">
        <f t="shared" si="78"/>
        <v>232000</v>
      </c>
      <c r="G528" s="76"/>
      <c r="H528" s="68">
        <f t="shared" si="73"/>
        <v>232000</v>
      </c>
      <c r="I528" s="24">
        <v>232000</v>
      </c>
      <c r="J528" s="17"/>
      <c r="K528" s="17"/>
      <c r="L528" s="17"/>
      <c r="M528" s="17"/>
      <c r="N528" s="17"/>
      <c r="O528" s="17"/>
      <c r="P528" s="17">
        <v>116000</v>
      </c>
      <c r="Q528" s="17"/>
      <c r="R528" s="17">
        <v>116000</v>
      </c>
      <c r="S528" s="17"/>
      <c r="T528" s="17"/>
      <c r="U528" s="17"/>
      <c r="V528" s="17">
        <f t="shared" si="79"/>
        <v>0</v>
      </c>
      <c r="W528" s="17"/>
    </row>
    <row r="529" spans="1:23" ht="93.75">
      <c r="A529" s="134"/>
      <c r="B529" s="134"/>
      <c r="C529" s="134"/>
      <c r="D529" s="146"/>
      <c r="E529" s="16" t="s">
        <v>487</v>
      </c>
      <c r="F529" s="68">
        <f t="shared" si="78"/>
        <v>58000</v>
      </c>
      <c r="G529" s="76">
        <v>1</v>
      </c>
      <c r="H529" s="68">
        <f t="shared" si="73"/>
        <v>58000</v>
      </c>
      <c r="I529" s="24">
        <v>58000</v>
      </c>
      <c r="J529" s="17"/>
      <c r="K529" s="17"/>
      <c r="L529" s="17">
        <v>5800</v>
      </c>
      <c r="M529" s="17">
        <v>40600</v>
      </c>
      <c r="N529" s="17"/>
      <c r="O529" s="17"/>
      <c r="P529" s="17">
        <v>11600</v>
      </c>
      <c r="Q529" s="17"/>
      <c r="R529" s="17"/>
      <c r="S529" s="17"/>
      <c r="T529" s="17"/>
      <c r="U529" s="17"/>
      <c r="V529" s="17">
        <f t="shared" si="79"/>
        <v>0</v>
      </c>
      <c r="W529" s="17">
        <f>11500+3500</f>
        <v>15000</v>
      </c>
    </row>
    <row r="530" spans="1:23" ht="75">
      <c r="A530" s="134"/>
      <c r="B530" s="134"/>
      <c r="C530" s="134"/>
      <c r="D530" s="146"/>
      <c r="E530" s="16" t="s">
        <v>158</v>
      </c>
      <c r="F530" s="68">
        <f t="shared" si="78"/>
        <v>390000</v>
      </c>
      <c r="G530" s="76">
        <v>1</v>
      </c>
      <c r="H530" s="68">
        <f t="shared" si="73"/>
        <v>390000</v>
      </c>
      <c r="I530" s="24">
        <v>390000</v>
      </c>
      <c r="J530" s="17"/>
      <c r="K530" s="17"/>
      <c r="L530" s="17">
        <v>39000</v>
      </c>
      <c r="M530" s="17">
        <v>273000</v>
      </c>
      <c r="N530" s="17"/>
      <c r="O530" s="17"/>
      <c r="P530" s="17">
        <v>78000</v>
      </c>
      <c r="Q530" s="17"/>
      <c r="R530" s="17"/>
      <c r="S530" s="17"/>
      <c r="T530" s="17"/>
      <c r="U530" s="17"/>
      <c r="V530" s="17">
        <f t="shared" si="79"/>
        <v>0</v>
      </c>
      <c r="W530" s="17">
        <f>39100</f>
        <v>39100</v>
      </c>
    </row>
    <row r="531" spans="1:23" ht="75">
      <c r="A531" s="134"/>
      <c r="B531" s="134"/>
      <c r="C531" s="134"/>
      <c r="D531" s="146"/>
      <c r="E531" s="16" t="s">
        <v>488</v>
      </c>
      <c r="F531" s="68">
        <f t="shared" si="78"/>
        <v>390000</v>
      </c>
      <c r="G531" s="76">
        <v>1</v>
      </c>
      <c r="H531" s="68">
        <f t="shared" si="73"/>
        <v>390000</v>
      </c>
      <c r="I531" s="24">
        <v>390000</v>
      </c>
      <c r="J531" s="17"/>
      <c r="K531" s="17"/>
      <c r="L531" s="17">
        <v>39000</v>
      </c>
      <c r="M531" s="17">
        <v>273000</v>
      </c>
      <c r="N531" s="17"/>
      <c r="O531" s="17"/>
      <c r="P531" s="17">
        <v>78000</v>
      </c>
      <c r="Q531" s="17"/>
      <c r="R531" s="17"/>
      <c r="S531" s="17"/>
      <c r="T531" s="17"/>
      <c r="U531" s="17"/>
      <c r="V531" s="17">
        <f t="shared" si="79"/>
        <v>0</v>
      </c>
      <c r="W531" s="17">
        <f>15800+131000</f>
        <v>146800</v>
      </c>
    </row>
    <row r="532" spans="1:23" ht="75">
      <c r="A532" s="134"/>
      <c r="B532" s="134"/>
      <c r="C532" s="134"/>
      <c r="D532" s="146"/>
      <c r="E532" s="16" t="s">
        <v>1122</v>
      </c>
      <c r="F532" s="68">
        <f t="shared" si="78"/>
        <v>380000</v>
      </c>
      <c r="G532" s="76">
        <v>1</v>
      </c>
      <c r="H532" s="68">
        <f t="shared" si="73"/>
        <v>380000</v>
      </c>
      <c r="I532" s="24">
        <v>380000</v>
      </c>
      <c r="J532" s="17"/>
      <c r="K532" s="17"/>
      <c r="L532" s="17">
        <v>38000</v>
      </c>
      <c r="M532" s="17">
        <v>266000</v>
      </c>
      <c r="N532" s="17"/>
      <c r="O532" s="17"/>
      <c r="P532" s="17">
        <v>76000</v>
      </c>
      <c r="Q532" s="17"/>
      <c r="R532" s="17"/>
      <c r="S532" s="17"/>
      <c r="T532" s="17"/>
      <c r="U532" s="17"/>
      <c r="V532" s="17">
        <f t="shared" si="79"/>
        <v>0</v>
      </c>
      <c r="W532" s="17"/>
    </row>
    <row r="533" spans="1:23" ht="93.75">
      <c r="A533" s="134"/>
      <c r="B533" s="134"/>
      <c r="C533" s="134"/>
      <c r="D533" s="146"/>
      <c r="E533" s="16" t="s">
        <v>797</v>
      </c>
      <c r="F533" s="68">
        <f t="shared" si="78"/>
        <v>180000</v>
      </c>
      <c r="G533" s="76">
        <v>1</v>
      </c>
      <c r="H533" s="68">
        <f t="shared" si="73"/>
        <v>180000</v>
      </c>
      <c r="I533" s="24">
        <v>180000</v>
      </c>
      <c r="J533" s="17"/>
      <c r="K533" s="17"/>
      <c r="L533" s="17">
        <v>18000</v>
      </c>
      <c r="M533" s="17">
        <v>126000</v>
      </c>
      <c r="N533" s="17"/>
      <c r="O533" s="17"/>
      <c r="P533" s="17">
        <v>36000</v>
      </c>
      <c r="Q533" s="17"/>
      <c r="R533" s="17"/>
      <c r="S533" s="17"/>
      <c r="T533" s="17"/>
      <c r="U533" s="17"/>
      <c r="V533" s="17">
        <f t="shared" si="79"/>
        <v>0</v>
      </c>
      <c r="W533" s="17">
        <f>9500+3500</f>
        <v>13000</v>
      </c>
    </row>
    <row r="534" spans="1:23" ht="75">
      <c r="A534" s="134"/>
      <c r="B534" s="134"/>
      <c r="C534" s="134"/>
      <c r="D534" s="146"/>
      <c r="E534" s="16" t="s">
        <v>373</v>
      </c>
      <c r="F534" s="68">
        <f t="shared" si="78"/>
        <v>126000</v>
      </c>
      <c r="G534" s="76">
        <v>1</v>
      </c>
      <c r="H534" s="68">
        <f t="shared" si="73"/>
        <v>126000</v>
      </c>
      <c r="I534" s="24">
        <v>126000</v>
      </c>
      <c r="J534" s="17"/>
      <c r="K534" s="17"/>
      <c r="L534" s="17">
        <f>12600+14400</f>
        <v>27000</v>
      </c>
      <c r="M534" s="17">
        <v>88200</v>
      </c>
      <c r="N534" s="17"/>
      <c r="O534" s="17"/>
      <c r="P534" s="17">
        <f>25200-14400</f>
        <v>10800</v>
      </c>
      <c r="Q534" s="17"/>
      <c r="R534" s="17"/>
      <c r="S534" s="17"/>
      <c r="T534" s="17"/>
      <c r="U534" s="17"/>
      <c r="V534" s="17">
        <f t="shared" si="79"/>
        <v>0</v>
      </c>
      <c r="W534" s="17">
        <f>27000+8000+8100</f>
        <v>43100</v>
      </c>
    </row>
    <row r="535" spans="1:23" ht="75">
      <c r="A535" s="134"/>
      <c r="B535" s="134"/>
      <c r="C535" s="134"/>
      <c r="D535" s="146"/>
      <c r="E535" s="16" t="s">
        <v>374</v>
      </c>
      <c r="F535" s="68">
        <f t="shared" si="78"/>
        <v>46400</v>
      </c>
      <c r="G535" s="76">
        <v>1</v>
      </c>
      <c r="H535" s="68">
        <f t="shared" si="73"/>
        <v>46400</v>
      </c>
      <c r="I535" s="24">
        <v>46400</v>
      </c>
      <c r="J535" s="17"/>
      <c r="K535" s="17"/>
      <c r="L535" s="17">
        <v>4640</v>
      </c>
      <c r="M535" s="17">
        <v>32480</v>
      </c>
      <c r="N535" s="17"/>
      <c r="O535" s="17"/>
      <c r="P535" s="17">
        <v>9280</v>
      </c>
      <c r="Q535" s="17"/>
      <c r="R535" s="17"/>
      <c r="S535" s="17"/>
      <c r="T535" s="17"/>
      <c r="U535" s="17"/>
      <c r="V535" s="17">
        <f t="shared" si="79"/>
        <v>0</v>
      </c>
      <c r="W535" s="17">
        <f>9500+6300</f>
        <v>15800</v>
      </c>
    </row>
    <row r="536" spans="1:23" ht="54" hidden="1">
      <c r="A536" s="134"/>
      <c r="B536" s="134"/>
      <c r="C536" s="134"/>
      <c r="D536" s="146"/>
      <c r="E536" s="16" t="s">
        <v>375</v>
      </c>
      <c r="F536" s="68">
        <f t="shared" si="78"/>
        <v>0</v>
      </c>
      <c r="G536" s="76">
        <v>1</v>
      </c>
      <c r="H536" s="68">
        <f t="shared" si="73"/>
        <v>0</v>
      </c>
      <c r="I536" s="24">
        <f>46400-46400</f>
        <v>0</v>
      </c>
      <c r="J536" s="17"/>
      <c r="K536" s="17"/>
      <c r="L536" s="17">
        <f>4640-4640</f>
        <v>0</v>
      </c>
      <c r="M536" s="17">
        <f>32480-32480</f>
        <v>0</v>
      </c>
      <c r="N536" s="17"/>
      <c r="O536" s="17"/>
      <c r="P536" s="17">
        <f>9280-9280</f>
        <v>0</v>
      </c>
      <c r="Q536" s="17"/>
      <c r="R536" s="17"/>
      <c r="S536" s="17"/>
      <c r="T536" s="17"/>
      <c r="U536" s="17"/>
      <c r="V536" s="17">
        <f t="shared" si="79"/>
        <v>0</v>
      </c>
      <c r="W536" s="17"/>
    </row>
    <row r="537" spans="1:23" ht="54" hidden="1">
      <c r="A537" s="134"/>
      <c r="B537" s="134"/>
      <c r="C537" s="134"/>
      <c r="D537" s="146"/>
      <c r="E537" s="16" t="s">
        <v>376</v>
      </c>
      <c r="F537" s="68">
        <f t="shared" si="78"/>
        <v>0</v>
      </c>
      <c r="G537" s="76">
        <v>1</v>
      </c>
      <c r="H537" s="68">
        <f t="shared" si="73"/>
        <v>0</v>
      </c>
      <c r="I537" s="24">
        <f>46400-46400</f>
        <v>0</v>
      </c>
      <c r="J537" s="17"/>
      <c r="K537" s="17"/>
      <c r="L537" s="17">
        <f>4640-4640</f>
        <v>0</v>
      </c>
      <c r="M537" s="17">
        <f>32480-32480</f>
        <v>0</v>
      </c>
      <c r="N537" s="17"/>
      <c r="O537" s="17"/>
      <c r="P537" s="17">
        <f>9280-9280</f>
        <v>0</v>
      </c>
      <c r="Q537" s="17"/>
      <c r="R537" s="17"/>
      <c r="S537" s="17"/>
      <c r="T537" s="17"/>
      <c r="U537" s="17"/>
      <c r="V537" s="17">
        <f t="shared" si="79"/>
        <v>0</v>
      </c>
      <c r="W537" s="17"/>
    </row>
    <row r="538" spans="1:23" ht="75">
      <c r="A538" s="134"/>
      <c r="B538" s="134"/>
      <c r="C538" s="134"/>
      <c r="D538" s="146"/>
      <c r="E538" s="16" t="s">
        <v>377</v>
      </c>
      <c r="F538" s="68">
        <f t="shared" si="78"/>
        <v>185600</v>
      </c>
      <c r="G538" s="76">
        <v>1</v>
      </c>
      <c r="H538" s="68">
        <f aca="true" t="shared" si="81" ref="H538:H574">I538</f>
        <v>185600</v>
      </c>
      <c r="I538" s="24">
        <f>46400+139200</f>
        <v>185600</v>
      </c>
      <c r="J538" s="17"/>
      <c r="K538" s="17"/>
      <c r="L538" s="17">
        <f>4640+13920</f>
        <v>18560</v>
      </c>
      <c r="M538" s="17">
        <f>32480+97440</f>
        <v>129920</v>
      </c>
      <c r="N538" s="17"/>
      <c r="O538" s="17"/>
      <c r="P538" s="17">
        <f>9280+27840</f>
        <v>37120</v>
      </c>
      <c r="Q538" s="17"/>
      <c r="R538" s="17"/>
      <c r="S538" s="17"/>
      <c r="T538" s="17"/>
      <c r="U538" s="17"/>
      <c r="V538" s="17">
        <f t="shared" si="79"/>
        <v>0</v>
      </c>
      <c r="W538" s="17">
        <f>7500+5200+97000</f>
        <v>109700</v>
      </c>
    </row>
    <row r="539" spans="1:23" ht="54" hidden="1">
      <c r="A539" s="134"/>
      <c r="B539" s="134"/>
      <c r="C539" s="134"/>
      <c r="D539" s="146"/>
      <c r="E539" s="16" t="s">
        <v>378</v>
      </c>
      <c r="F539" s="68">
        <f t="shared" si="78"/>
        <v>0</v>
      </c>
      <c r="G539" s="76">
        <v>1</v>
      </c>
      <c r="H539" s="68">
        <f t="shared" si="81"/>
        <v>0</v>
      </c>
      <c r="I539" s="24">
        <f>46400-46400</f>
        <v>0</v>
      </c>
      <c r="J539" s="17"/>
      <c r="K539" s="17"/>
      <c r="L539" s="17">
        <f>4640-4640</f>
        <v>0</v>
      </c>
      <c r="M539" s="17">
        <f>32480-32480</f>
        <v>0</v>
      </c>
      <c r="N539" s="17"/>
      <c r="O539" s="17"/>
      <c r="P539" s="17">
        <f>9280-9280</f>
        <v>0</v>
      </c>
      <c r="Q539" s="17"/>
      <c r="R539" s="17"/>
      <c r="S539" s="17"/>
      <c r="T539" s="17"/>
      <c r="U539" s="17"/>
      <c r="V539" s="17">
        <f t="shared" si="79"/>
        <v>0</v>
      </c>
      <c r="W539" s="17"/>
    </row>
    <row r="540" spans="1:23" ht="75">
      <c r="A540" s="134"/>
      <c r="B540" s="134"/>
      <c r="C540" s="134"/>
      <c r="D540" s="146"/>
      <c r="E540" s="16" t="s">
        <v>417</v>
      </c>
      <c r="F540" s="68">
        <f t="shared" si="78"/>
        <v>92800</v>
      </c>
      <c r="G540" s="76">
        <v>1</v>
      </c>
      <c r="H540" s="68">
        <f t="shared" si="81"/>
        <v>92800</v>
      </c>
      <c r="I540" s="24">
        <v>92800</v>
      </c>
      <c r="J540" s="17"/>
      <c r="K540" s="17"/>
      <c r="L540" s="17">
        <v>9280</v>
      </c>
      <c r="M540" s="17">
        <v>64960</v>
      </c>
      <c r="N540" s="17"/>
      <c r="O540" s="17"/>
      <c r="P540" s="17">
        <v>18560</v>
      </c>
      <c r="Q540" s="17"/>
      <c r="R540" s="17"/>
      <c r="S540" s="17"/>
      <c r="T540" s="17"/>
      <c r="U540" s="17"/>
      <c r="V540" s="17">
        <f t="shared" si="79"/>
        <v>0</v>
      </c>
      <c r="W540" s="17">
        <f>8000+3000</f>
        <v>11000</v>
      </c>
    </row>
    <row r="541" spans="1:23" ht="75">
      <c r="A541" s="134"/>
      <c r="B541" s="134"/>
      <c r="C541" s="134"/>
      <c r="D541" s="146"/>
      <c r="E541" s="16" t="s">
        <v>418</v>
      </c>
      <c r="F541" s="68">
        <f t="shared" si="78"/>
        <v>92800</v>
      </c>
      <c r="G541" s="76">
        <v>1</v>
      </c>
      <c r="H541" s="68">
        <f t="shared" si="81"/>
        <v>92800</v>
      </c>
      <c r="I541" s="24">
        <v>92800</v>
      </c>
      <c r="J541" s="17"/>
      <c r="K541" s="17"/>
      <c r="L541" s="17">
        <f>9280+11720</f>
        <v>21000</v>
      </c>
      <c r="M541" s="17">
        <v>64960</v>
      </c>
      <c r="N541" s="17"/>
      <c r="O541" s="17"/>
      <c r="P541" s="17">
        <f>18560-11720</f>
        <v>6840</v>
      </c>
      <c r="Q541" s="17"/>
      <c r="R541" s="17"/>
      <c r="S541" s="17"/>
      <c r="T541" s="17"/>
      <c r="U541" s="17"/>
      <c r="V541" s="17">
        <f t="shared" si="79"/>
        <v>0</v>
      </c>
      <c r="W541" s="17">
        <f>21000+10400</f>
        <v>31400</v>
      </c>
    </row>
    <row r="542" spans="1:23" ht="75">
      <c r="A542" s="134"/>
      <c r="B542" s="134"/>
      <c r="C542" s="134"/>
      <c r="D542" s="146"/>
      <c r="E542" s="16" t="s">
        <v>485</v>
      </c>
      <c r="F542" s="68">
        <f t="shared" si="78"/>
        <v>92800</v>
      </c>
      <c r="G542" s="76">
        <v>1</v>
      </c>
      <c r="H542" s="68">
        <f t="shared" si="81"/>
        <v>92800</v>
      </c>
      <c r="I542" s="24">
        <v>92800</v>
      </c>
      <c r="J542" s="17"/>
      <c r="K542" s="17"/>
      <c r="L542" s="17">
        <v>9280</v>
      </c>
      <c r="M542" s="17">
        <v>64960</v>
      </c>
      <c r="N542" s="17"/>
      <c r="O542" s="17"/>
      <c r="P542" s="17">
        <v>18560</v>
      </c>
      <c r="Q542" s="17"/>
      <c r="R542" s="17"/>
      <c r="S542" s="17"/>
      <c r="T542" s="17"/>
      <c r="U542" s="17"/>
      <c r="V542" s="17">
        <f t="shared" si="79"/>
        <v>0</v>
      </c>
      <c r="W542" s="17">
        <f>8500+5400</f>
        <v>13900</v>
      </c>
    </row>
    <row r="543" spans="1:23" ht="75">
      <c r="A543" s="134"/>
      <c r="B543" s="134"/>
      <c r="C543" s="134"/>
      <c r="D543" s="146"/>
      <c r="E543" s="16" t="s">
        <v>1009</v>
      </c>
      <c r="F543" s="68">
        <f t="shared" si="78"/>
        <v>92800</v>
      </c>
      <c r="G543" s="76">
        <v>1</v>
      </c>
      <c r="H543" s="68">
        <f t="shared" si="81"/>
        <v>92800</v>
      </c>
      <c r="I543" s="24">
        <v>92800</v>
      </c>
      <c r="J543" s="17"/>
      <c r="K543" s="17"/>
      <c r="L543" s="17">
        <v>9280</v>
      </c>
      <c r="M543" s="17">
        <v>64960</v>
      </c>
      <c r="N543" s="17"/>
      <c r="O543" s="17"/>
      <c r="P543" s="17">
        <v>18560</v>
      </c>
      <c r="Q543" s="17"/>
      <c r="R543" s="17"/>
      <c r="S543" s="17"/>
      <c r="T543" s="17"/>
      <c r="U543" s="17"/>
      <c r="V543" s="17">
        <f t="shared" si="79"/>
        <v>0</v>
      </c>
      <c r="W543" s="17">
        <f>7500+5100+57000</f>
        <v>69600</v>
      </c>
    </row>
    <row r="544" spans="1:23" ht="72" hidden="1">
      <c r="A544" s="134"/>
      <c r="B544" s="134"/>
      <c r="C544" s="134"/>
      <c r="D544" s="146"/>
      <c r="E544" s="16" t="s">
        <v>452</v>
      </c>
      <c r="F544" s="68">
        <f t="shared" si="78"/>
        <v>0</v>
      </c>
      <c r="G544" s="76">
        <v>1</v>
      </c>
      <c r="H544" s="68">
        <f t="shared" si="81"/>
        <v>0</v>
      </c>
      <c r="I544" s="24">
        <f>232000-232000</f>
        <v>0</v>
      </c>
      <c r="J544" s="17"/>
      <c r="K544" s="17"/>
      <c r="L544" s="17">
        <f>23200-23200</f>
        <v>0</v>
      </c>
      <c r="M544" s="17">
        <f>162400-162400</f>
        <v>0</v>
      </c>
      <c r="N544" s="17"/>
      <c r="O544" s="17"/>
      <c r="P544" s="17">
        <f>46400-46400</f>
        <v>0</v>
      </c>
      <c r="Q544" s="17"/>
      <c r="R544" s="17"/>
      <c r="S544" s="17"/>
      <c r="T544" s="17"/>
      <c r="U544" s="17"/>
      <c r="V544" s="17">
        <f t="shared" si="79"/>
        <v>0</v>
      </c>
      <c r="W544" s="17"/>
    </row>
    <row r="545" spans="1:23" ht="75">
      <c r="A545" s="134"/>
      <c r="B545" s="134"/>
      <c r="C545" s="134"/>
      <c r="D545" s="146"/>
      <c r="E545" s="16" t="s">
        <v>884</v>
      </c>
      <c r="F545" s="68">
        <f t="shared" si="78"/>
        <v>100000</v>
      </c>
      <c r="G545" s="76"/>
      <c r="H545" s="68">
        <f t="shared" si="81"/>
        <v>100000</v>
      </c>
      <c r="I545" s="24">
        <v>100000</v>
      </c>
      <c r="J545" s="17"/>
      <c r="K545" s="17"/>
      <c r="L545" s="17">
        <v>10000</v>
      </c>
      <c r="M545" s="17">
        <v>70000</v>
      </c>
      <c r="N545" s="17"/>
      <c r="O545" s="17"/>
      <c r="P545" s="17">
        <v>20000</v>
      </c>
      <c r="Q545" s="17"/>
      <c r="R545" s="17"/>
      <c r="S545" s="17"/>
      <c r="T545" s="17"/>
      <c r="U545" s="17"/>
      <c r="V545" s="17">
        <f>I545-J545-K545-L545-M545-N545-O545-P545-Q545-R545-S545-T545-U545</f>
        <v>0</v>
      </c>
      <c r="W545" s="17">
        <f>8500+4600+66900</f>
        <v>80000</v>
      </c>
    </row>
    <row r="546" spans="1:23" ht="75">
      <c r="A546" s="134"/>
      <c r="B546" s="134"/>
      <c r="C546" s="134"/>
      <c r="D546" s="146"/>
      <c r="E546" s="16" t="s">
        <v>885</v>
      </c>
      <c r="F546" s="68">
        <f t="shared" si="78"/>
        <v>100000</v>
      </c>
      <c r="G546" s="76"/>
      <c r="H546" s="68">
        <f t="shared" si="81"/>
        <v>100000</v>
      </c>
      <c r="I546" s="24">
        <v>100000</v>
      </c>
      <c r="J546" s="17"/>
      <c r="K546" s="17"/>
      <c r="L546" s="17">
        <v>10000</v>
      </c>
      <c r="M546" s="17">
        <v>70000</v>
      </c>
      <c r="N546" s="17"/>
      <c r="O546" s="17"/>
      <c r="P546" s="17">
        <v>20000</v>
      </c>
      <c r="Q546" s="17"/>
      <c r="R546" s="17"/>
      <c r="S546" s="17"/>
      <c r="T546" s="17"/>
      <c r="U546" s="17"/>
      <c r="V546" s="17">
        <f>I546-J546-K546-L546-M546-N546-O546-P546-Q546-R546-S546-T546-U546</f>
        <v>0</v>
      </c>
      <c r="W546" s="17">
        <f>8500+5100</f>
        <v>13600</v>
      </c>
    </row>
    <row r="547" spans="1:23" ht="81" customHeight="1">
      <c r="A547" s="134"/>
      <c r="B547" s="134"/>
      <c r="C547" s="134"/>
      <c r="D547" s="146"/>
      <c r="E547" s="16" t="s">
        <v>453</v>
      </c>
      <c r="F547" s="68">
        <f t="shared" si="78"/>
        <v>59000</v>
      </c>
      <c r="G547" s="76">
        <v>1</v>
      </c>
      <c r="H547" s="68">
        <f t="shared" si="81"/>
        <v>59000</v>
      </c>
      <c r="I547" s="24">
        <v>59000</v>
      </c>
      <c r="J547" s="17"/>
      <c r="K547" s="17"/>
      <c r="L547" s="17">
        <f>5900+2500</f>
        <v>8400</v>
      </c>
      <c r="M547" s="17">
        <v>41300</v>
      </c>
      <c r="N547" s="17"/>
      <c r="O547" s="17"/>
      <c r="P547" s="17">
        <f>11800-2500</f>
        <v>9300</v>
      </c>
      <c r="Q547" s="17"/>
      <c r="R547" s="17"/>
      <c r="S547" s="17"/>
      <c r="T547" s="17"/>
      <c r="U547" s="17"/>
      <c r="V547" s="17">
        <f t="shared" si="79"/>
        <v>0</v>
      </c>
      <c r="W547" s="17">
        <v>8400</v>
      </c>
    </row>
    <row r="548" spans="1:23" ht="75">
      <c r="A548" s="134"/>
      <c r="B548" s="134"/>
      <c r="C548" s="134"/>
      <c r="D548" s="146"/>
      <c r="E548" s="16" t="s">
        <v>454</v>
      </c>
      <c r="F548" s="68">
        <f t="shared" si="78"/>
        <v>59000</v>
      </c>
      <c r="G548" s="76">
        <v>1</v>
      </c>
      <c r="H548" s="68">
        <f t="shared" si="81"/>
        <v>59000</v>
      </c>
      <c r="I548" s="24">
        <v>59000</v>
      </c>
      <c r="J548" s="17"/>
      <c r="K548" s="17"/>
      <c r="L548" s="17">
        <v>5900</v>
      </c>
      <c r="M548" s="17">
        <v>41300</v>
      </c>
      <c r="N548" s="17"/>
      <c r="O548" s="17"/>
      <c r="P548" s="17">
        <v>11800</v>
      </c>
      <c r="Q548" s="17"/>
      <c r="R548" s="17"/>
      <c r="S548" s="17"/>
      <c r="T548" s="17"/>
      <c r="U548" s="17"/>
      <c r="V548" s="17">
        <f t="shared" si="79"/>
        <v>0</v>
      </c>
      <c r="W548" s="17"/>
    </row>
    <row r="549" spans="1:23" ht="102" customHeight="1" hidden="1">
      <c r="A549" s="134"/>
      <c r="B549" s="134"/>
      <c r="C549" s="134"/>
      <c r="D549" s="146"/>
      <c r="E549" s="16" t="s">
        <v>455</v>
      </c>
      <c r="F549" s="68">
        <f t="shared" si="78"/>
        <v>0</v>
      </c>
      <c r="G549" s="76">
        <v>1</v>
      </c>
      <c r="H549" s="68">
        <f t="shared" si="81"/>
        <v>0</v>
      </c>
      <c r="I549" s="24">
        <f>150000-150000</f>
        <v>0</v>
      </c>
      <c r="J549" s="17"/>
      <c r="K549" s="17"/>
      <c r="L549" s="17">
        <f>15000-15000</f>
        <v>0</v>
      </c>
      <c r="M549" s="17">
        <f>105000-105000</f>
        <v>0</v>
      </c>
      <c r="N549" s="17"/>
      <c r="O549" s="17"/>
      <c r="P549" s="17">
        <f>30000-30000</f>
        <v>0</v>
      </c>
      <c r="Q549" s="17"/>
      <c r="R549" s="17"/>
      <c r="S549" s="17"/>
      <c r="T549" s="17"/>
      <c r="U549" s="17"/>
      <c r="V549" s="17">
        <f t="shared" si="79"/>
        <v>0</v>
      </c>
      <c r="W549" s="17"/>
    </row>
    <row r="550" spans="1:23" ht="37.5">
      <c r="A550" s="134"/>
      <c r="B550" s="134"/>
      <c r="C550" s="134"/>
      <c r="D550" s="146"/>
      <c r="E550" s="16" t="s">
        <v>1120</v>
      </c>
      <c r="F550" s="68">
        <f t="shared" si="78"/>
        <v>100000</v>
      </c>
      <c r="G550" s="76">
        <v>1</v>
      </c>
      <c r="H550" s="68">
        <f t="shared" si="81"/>
        <v>100000</v>
      </c>
      <c r="I550" s="24">
        <v>100000</v>
      </c>
      <c r="J550" s="17"/>
      <c r="K550" s="17"/>
      <c r="L550" s="17">
        <v>10000</v>
      </c>
      <c r="M550" s="17">
        <v>70000</v>
      </c>
      <c r="N550" s="17"/>
      <c r="O550" s="17"/>
      <c r="P550" s="17">
        <v>20000</v>
      </c>
      <c r="Q550" s="17"/>
      <c r="R550" s="17"/>
      <c r="S550" s="17"/>
      <c r="T550" s="17"/>
      <c r="U550" s="17"/>
      <c r="V550" s="17">
        <f t="shared" si="79"/>
        <v>0</v>
      </c>
      <c r="W550" s="17">
        <f>8000+2500</f>
        <v>10500</v>
      </c>
    </row>
    <row r="551" spans="1:23" ht="37.5">
      <c r="A551" s="134"/>
      <c r="B551" s="134"/>
      <c r="C551" s="134"/>
      <c r="D551" s="146"/>
      <c r="E551" s="16" t="s">
        <v>1121</v>
      </c>
      <c r="F551" s="68">
        <f t="shared" si="78"/>
        <v>100000</v>
      </c>
      <c r="G551" s="76">
        <v>1</v>
      </c>
      <c r="H551" s="68">
        <f t="shared" si="81"/>
        <v>100000</v>
      </c>
      <c r="I551" s="24">
        <v>100000</v>
      </c>
      <c r="J551" s="17"/>
      <c r="K551" s="17"/>
      <c r="L551" s="17">
        <v>10000</v>
      </c>
      <c r="M551" s="17">
        <v>70000</v>
      </c>
      <c r="N551" s="17"/>
      <c r="O551" s="17"/>
      <c r="P551" s="17">
        <v>20000</v>
      </c>
      <c r="Q551" s="17"/>
      <c r="R551" s="17"/>
      <c r="S551" s="17"/>
      <c r="T551" s="17"/>
      <c r="U551" s="17"/>
      <c r="V551" s="17">
        <f t="shared" si="79"/>
        <v>0</v>
      </c>
      <c r="W551" s="17">
        <v>8000</v>
      </c>
    </row>
    <row r="552" spans="1:23" ht="75">
      <c r="A552" s="134"/>
      <c r="B552" s="134"/>
      <c r="C552" s="134"/>
      <c r="D552" s="146"/>
      <c r="E552" s="16" t="s">
        <v>598</v>
      </c>
      <c r="F552" s="68">
        <f t="shared" si="78"/>
        <v>232000</v>
      </c>
      <c r="G552" s="76">
        <v>1</v>
      </c>
      <c r="H552" s="68">
        <f t="shared" si="81"/>
        <v>232000</v>
      </c>
      <c r="I552" s="24">
        <v>232000</v>
      </c>
      <c r="J552" s="17"/>
      <c r="K552" s="17"/>
      <c r="L552" s="17">
        <v>23200</v>
      </c>
      <c r="M552" s="17">
        <v>162400</v>
      </c>
      <c r="N552" s="17"/>
      <c r="O552" s="17"/>
      <c r="P552" s="17">
        <v>46400</v>
      </c>
      <c r="Q552" s="17"/>
      <c r="R552" s="17"/>
      <c r="S552" s="17"/>
      <c r="T552" s="17"/>
      <c r="U552" s="17"/>
      <c r="V552" s="17">
        <f t="shared" si="79"/>
        <v>0</v>
      </c>
      <c r="W552" s="17">
        <v>13000</v>
      </c>
    </row>
    <row r="553" spans="1:23" ht="93.75">
      <c r="A553" s="134"/>
      <c r="B553" s="134"/>
      <c r="C553" s="134"/>
      <c r="D553" s="146"/>
      <c r="E553" s="16" t="s">
        <v>88</v>
      </c>
      <c r="F553" s="68">
        <f t="shared" si="78"/>
        <v>155000</v>
      </c>
      <c r="G553" s="76"/>
      <c r="H553" s="68">
        <f t="shared" si="81"/>
        <v>155000</v>
      </c>
      <c r="I553" s="24">
        <v>155000</v>
      </c>
      <c r="J553" s="17"/>
      <c r="K553" s="17"/>
      <c r="L553" s="17"/>
      <c r="M553" s="17"/>
      <c r="N553" s="17"/>
      <c r="O553" s="17"/>
      <c r="P553" s="17">
        <v>77500</v>
      </c>
      <c r="Q553" s="17"/>
      <c r="R553" s="17">
        <v>77500</v>
      </c>
      <c r="S553" s="17"/>
      <c r="T553" s="17"/>
      <c r="U553" s="17"/>
      <c r="V553" s="17">
        <f>I553-J553-K553-L553-M553-N553-O553-P553-Q553-R553-S553-T553-U553</f>
        <v>0</v>
      </c>
      <c r="W553" s="17"/>
    </row>
    <row r="554" spans="1:23" ht="75">
      <c r="A554" s="134"/>
      <c r="B554" s="134"/>
      <c r="C554" s="134"/>
      <c r="D554" s="146"/>
      <c r="E554" s="16" t="s">
        <v>89</v>
      </c>
      <c r="F554" s="68">
        <f t="shared" si="78"/>
        <v>155000</v>
      </c>
      <c r="G554" s="76"/>
      <c r="H554" s="68">
        <f t="shared" si="81"/>
        <v>155000</v>
      </c>
      <c r="I554" s="24">
        <v>155000</v>
      </c>
      <c r="J554" s="17"/>
      <c r="K554" s="17"/>
      <c r="L554" s="17"/>
      <c r="M554" s="17"/>
      <c r="N554" s="17"/>
      <c r="O554" s="17"/>
      <c r="P554" s="17">
        <v>77500</v>
      </c>
      <c r="Q554" s="17"/>
      <c r="R554" s="17">
        <v>77500</v>
      </c>
      <c r="S554" s="17"/>
      <c r="T554" s="17"/>
      <c r="U554" s="17"/>
      <c r="V554" s="17">
        <f>I554-J554-K554-L554-M554-N554-O554-P554-Q554-R554-S554-T554-U554</f>
        <v>0</v>
      </c>
      <c r="W554" s="17"/>
    </row>
    <row r="555" spans="1:23" ht="93.75">
      <c r="A555" s="134"/>
      <c r="B555" s="134"/>
      <c r="C555" s="134"/>
      <c r="D555" s="146"/>
      <c r="E555" s="16" t="s">
        <v>43</v>
      </c>
      <c r="F555" s="68">
        <f t="shared" si="78"/>
        <v>696000</v>
      </c>
      <c r="G555" s="76">
        <v>1</v>
      </c>
      <c r="H555" s="68">
        <f t="shared" si="81"/>
        <v>696000</v>
      </c>
      <c r="I555" s="24">
        <v>696000</v>
      </c>
      <c r="J555" s="17"/>
      <c r="K555" s="17"/>
      <c r="L555" s="17">
        <v>69600</v>
      </c>
      <c r="M555" s="17">
        <v>487200</v>
      </c>
      <c r="N555" s="17"/>
      <c r="O555" s="17">
        <v>-400000</v>
      </c>
      <c r="P555" s="17">
        <f>139200+400000</f>
        <v>539200</v>
      </c>
      <c r="Q555" s="17"/>
      <c r="R555" s="17"/>
      <c r="S555" s="17"/>
      <c r="T555" s="17"/>
      <c r="U555" s="17"/>
      <c r="V555" s="17">
        <f t="shared" si="79"/>
        <v>0</v>
      </c>
      <c r="W555" s="17"/>
    </row>
    <row r="556" spans="1:23" ht="93.75">
      <c r="A556" s="134"/>
      <c r="B556" s="134"/>
      <c r="C556" s="134"/>
      <c r="D556" s="146"/>
      <c r="E556" s="16" t="s">
        <v>783</v>
      </c>
      <c r="F556" s="68">
        <f t="shared" si="78"/>
        <v>232000</v>
      </c>
      <c r="G556" s="76">
        <v>1</v>
      </c>
      <c r="H556" s="68">
        <f t="shared" si="81"/>
        <v>232000</v>
      </c>
      <c r="I556" s="24">
        <v>232000</v>
      </c>
      <c r="J556" s="17"/>
      <c r="K556" s="17"/>
      <c r="L556" s="17">
        <v>23200</v>
      </c>
      <c r="M556" s="17">
        <v>162400</v>
      </c>
      <c r="N556" s="17"/>
      <c r="O556" s="17"/>
      <c r="P556" s="17">
        <v>46400</v>
      </c>
      <c r="Q556" s="17"/>
      <c r="R556" s="17"/>
      <c r="S556" s="17"/>
      <c r="T556" s="17"/>
      <c r="U556" s="17"/>
      <c r="V556" s="17">
        <f t="shared" si="79"/>
        <v>0</v>
      </c>
      <c r="W556" s="17">
        <f>10500+2500+5800+124000</f>
        <v>142800</v>
      </c>
    </row>
    <row r="557" spans="1:23" ht="75">
      <c r="A557" s="134"/>
      <c r="B557" s="134"/>
      <c r="C557" s="134"/>
      <c r="D557" s="146"/>
      <c r="E557" s="16" t="s">
        <v>47</v>
      </c>
      <c r="F557" s="68">
        <f t="shared" si="78"/>
        <v>116000</v>
      </c>
      <c r="G557" s="76">
        <v>1</v>
      </c>
      <c r="H557" s="68">
        <f t="shared" si="81"/>
        <v>116000</v>
      </c>
      <c r="I557" s="24">
        <v>116000</v>
      </c>
      <c r="J557" s="17"/>
      <c r="K557" s="17"/>
      <c r="L557" s="17">
        <v>11600</v>
      </c>
      <c r="M557" s="17">
        <v>81200</v>
      </c>
      <c r="N557" s="17"/>
      <c r="O557" s="17"/>
      <c r="P557" s="17">
        <v>23200</v>
      </c>
      <c r="Q557" s="17"/>
      <c r="R557" s="17"/>
      <c r="S557" s="17"/>
      <c r="T557" s="17"/>
      <c r="U557" s="17"/>
      <c r="V557" s="17">
        <f t="shared" si="79"/>
        <v>0</v>
      </c>
      <c r="W557" s="17"/>
    </row>
    <row r="558" spans="1:23" ht="75">
      <c r="A558" s="134"/>
      <c r="B558" s="134"/>
      <c r="C558" s="134"/>
      <c r="D558" s="146"/>
      <c r="E558" s="16" t="s">
        <v>48</v>
      </c>
      <c r="F558" s="68">
        <f t="shared" si="78"/>
        <v>116000</v>
      </c>
      <c r="G558" s="76">
        <v>1</v>
      </c>
      <c r="H558" s="68">
        <f t="shared" si="81"/>
        <v>116000</v>
      </c>
      <c r="I558" s="24">
        <v>116000</v>
      </c>
      <c r="J558" s="17"/>
      <c r="K558" s="17"/>
      <c r="L558" s="17">
        <v>11600</v>
      </c>
      <c r="M558" s="17">
        <v>81200</v>
      </c>
      <c r="N558" s="17"/>
      <c r="O558" s="17"/>
      <c r="P558" s="17">
        <v>23200</v>
      </c>
      <c r="Q558" s="17"/>
      <c r="R558" s="17"/>
      <c r="S558" s="17"/>
      <c r="T558" s="17"/>
      <c r="U558" s="17"/>
      <c r="V558" s="17">
        <f t="shared" si="79"/>
        <v>0</v>
      </c>
      <c r="W558" s="17">
        <f>8000+2000</f>
        <v>10000</v>
      </c>
    </row>
    <row r="559" spans="1:23" ht="138" customHeight="1">
      <c r="A559" s="134"/>
      <c r="B559" s="134"/>
      <c r="C559" s="134"/>
      <c r="D559" s="146"/>
      <c r="E559" s="16" t="s">
        <v>354</v>
      </c>
      <c r="F559" s="68">
        <f t="shared" si="78"/>
        <v>1000000</v>
      </c>
      <c r="G559" s="76">
        <v>1</v>
      </c>
      <c r="H559" s="68">
        <f t="shared" si="81"/>
        <v>1000000</v>
      </c>
      <c r="I559" s="24">
        <v>1000000</v>
      </c>
      <c r="J559" s="17"/>
      <c r="K559" s="17"/>
      <c r="L559" s="17">
        <v>100000</v>
      </c>
      <c r="M559" s="17">
        <v>700000</v>
      </c>
      <c r="N559" s="17"/>
      <c r="O559" s="17"/>
      <c r="P559" s="17">
        <v>200000</v>
      </c>
      <c r="Q559" s="17"/>
      <c r="R559" s="17"/>
      <c r="S559" s="17"/>
      <c r="T559" s="17"/>
      <c r="U559" s="17"/>
      <c r="V559" s="17">
        <f t="shared" si="79"/>
        <v>0</v>
      </c>
      <c r="W559" s="17">
        <v>28000</v>
      </c>
    </row>
    <row r="560" spans="1:23" ht="77.25" customHeight="1">
      <c r="A560" s="134"/>
      <c r="B560" s="134"/>
      <c r="C560" s="134"/>
      <c r="D560" s="146"/>
      <c r="E560" s="16" t="s">
        <v>530</v>
      </c>
      <c r="F560" s="68">
        <f t="shared" si="78"/>
        <v>164000</v>
      </c>
      <c r="G560" s="76">
        <v>1</v>
      </c>
      <c r="H560" s="68">
        <f t="shared" si="81"/>
        <v>164000</v>
      </c>
      <c r="I560" s="24">
        <v>164000</v>
      </c>
      <c r="J560" s="17"/>
      <c r="K560" s="17"/>
      <c r="L560" s="17">
        <v>16400</v>
      </c>
      <c r="M560" s="17">
        <v>114800</v>
      </c>
      <c r="N560" s="17"/>
      <c r="O560" s="17"/>
      <c r="P560" s="17">
        <v>32800</v>
      </c>
      <c r="Q560" s="17"/>
      <c r="R560" s="17"/>
      <c r="S560" s="17"/>
      <c r="T560" s="17"/>
      <c r="U560" s="17"/>
      <c r="V560" s="17">
        <f t="shared" si="79"/>
        <v>0</v>
      </c>
      <c r="W560" s="17">
        <f>14000+10600</f>
        <v>24600</v>
      </c>
    </row>
    <row r="561" spans="1:23" ht="81" customHeight="1">
      <c r="A561" s="134"/>
      <c r="B561" s="134"/>
      <c r="C561" s="134"/>
      <c r="D561" s="146"/>
      <c r="E561" s="16" t="s">
        <v>1104</v>
      </c>
      <c r="F561" s="68">
        <f t="shared" si="78"/>
        <v>154000</v>
      </c>
      <c r="G561" s="76">
        <v>1</v>
      </c>
      <c r="H561" s="68">
        <f t="shared" si="81"/>
        <v>154000</v>
      </c>
      <c r="I561" s="24">
        <v>154000</v>
      </c>
      <c r="J561" s="17"/>
      <c r="K561" s="17"/>
      <c r="L561" s="17">
        <v>15400</v>
      </c>
      <c r="M561" s="17">
        <v>107800</v>
      </c>
      <c r="N561" s="17"/>
      <c r="O561" s="17"/>
      <c r="P561" s="17">
        <v>30800</v>
      </c>
      <c r="Q561" s="17"/>
      <c r="R561" s="17"/>
      <c r="S561" s="17"/>
      <c r="T561" s="17"/>
      <c r="U561" s="17"/>
      <c r="V561" s="17">
        <f t="shared" si="79"/>
        <v>0</v>
      </c>
      <c r="W561" s="17">
        <f>9900+7600</f>
        <v>17500</v>
      </c>
    </row>
    <row r="562" spans="1:23" ht="75">
      <c r="A562" s="134"/>
      <c r="B562" s="134"/>
      <c r="C562" s="134"/>
      <c r="D562" s="146"/>
      <c r="E562" s="16" t="s">
        <v>1010</v>
      </c>
      <c r="F562" s="68">
        <f t="shared" si="78"/>
        <v>168000</v>
      </c>
      <c r="G562" s="76">
        <v>1</v>
      </c>
      <c r="H562" s="68">
        <f t="shared" si="81"/>
        <v>168000</v>
      </c>
      <c r="I562" s="24">
        <v>168000</v>
      </c>
      <c r="J562" s="17"/>
      <c r="K562" s="17"/>
      <c r="L562" s="17">
        <v>16800</v>
      </c>
      <c r="M562" s="17">
        <v>117600</v>
      </c>
      <c r="N562" s="17"/>
      <c r="O562" s="17"/>
      <c r="P562" s="17">
        <v>33600</v>
      </c>
      <c r="Q562" s="17"/>
      <c r="R562" s="17"/>
      <c r="S562" s="17"/>
      <c r="T562" s="17"/>
      <c r="U562" s="17"/>
      <c r="V562" s="17">
        <f t="shared" si="79"/>
        <v>0</v>
      </c>
      <c r="W562" s="17">
        <f>7500+10200</f>
        <v>17700</v>
      </c>
    </row>
    <row r="563" spans="1:23" ht="75">
      <c r="A563" s="134"/>
      <c r="B563" s="134"/>
      <c r="C563" s="134"/>
      <c r="D563" s="146"/>
      <c r="E563" s="16" t="s">
        <v>1105</v>
      </c>
      <c r="F563" s="68">
        <f t="shared" si="78"/>
        <v>168000</v>
      </c>
      <c r="G563" s="76">
        <v>1</v>
      </c>
      <c r="H563" s="68">
        <f t="shared" si="81"/>
        <v>168000</v>
      </c>
      <c r="I563" s="24">
        <v>168000</v>
      </c>
      <c r="J563" s="17"/>
      <c r="K563" s="17"/>
      <c r="L563" s="17">
        <v>16800</v>
      </c>
      <c r="M563" s="17">
        <v>117600</v>
      </c>
      <c r="N563" s="17"/>
      <c r="O563" s="17"/>
      <c r="P563" s="17">
        <v>33600</v>
      </c>
      <c r="Q563" s="17"/>
      <c r="R563" s="17"/>
      <c r="S563" s="17"/>
      <c r="T563" s="17"/>
      <c r="U563" s="17"/>
      <c r="V563" s="17">
        <f t="shared" si="79"/>
        <v>0</v>
      </c>
      <c r="W563" s="17"/>
    </row>
    <row r="564" spans="1:23" ht="75">
      <c r="A564" s="134"/>
      <c r="B564" s="134"/>
      <c r="C564" s="134"/>
      <c r="D564" s="146"/>
      <c r="E564" s="16" t="s">
        <v>1011</v>
      </c>
      <c r="F564" s="68">
        <f t="shared" si="78"/>
        <v>168000</v>
      </c>
      <c r="G564" s="76">
        <v>1</v>
      </c>
      <c r="H564" s="68">
        <f t="shared" si="81"/>
        <v>168000</v>
      </c>
      <c r="I564" s="24">
        <v>168000</v>
      </c>
      <c r="J564" s="17"/>
      <c r="K564" s="17"/>
      <c r="L564" s="17">
        <v>16800</v>
      </c>
      <c r="M564" s="17">
        <v>117600</v>
      </c>
      <c r="N564" s="17"/>
      <c r="O564" s="17"/>
      <c r="P564" s="17">
        <v>33600</v>
      </c>
      <c r="Q564" s="17"/>
      <c r="R564" s="17"/>
      <c r="S564" s="17"/>
      <c r="T564" s="17"/>
      <c r="U564" s="17"/>
      <c r="V564" s="17">
        <f t="shared" si="79"/>
        <v>0</v>
      </c>
      <c r="W564" s="17">
        <f>10000+3000</f>
        <v>13000</v>
      </c>
    </row>
    <row r="565" spans="1:23" ht="75">
      <c r="A565" s="134"/>
      <c r="B565" s="134"/>
      <c r="C565" s="134"/>
      <c r="D565" s="146"/>
      <c r="E565" s="16" t="s">
        <v>699</v>
      </c>
      <c r="F565" s="68">
        <f t="shared" si="78"/>
        <v>168000</v>
      </c>
      <c r="G565" s="76">
        <v>1</v>
      </c>
      <c r="H565" s="68">
        <f t="shared" si="81"/>
        <v>168000</v>
      </c>
      <c r="I565" s="24">
        <v>168000</v>
      </c>
      <c r="J565" s="17"/>
      <c r="K565" s="17"/>
      <c r="L565" s="17">
        <v>16800</v>
      </c>
      <c r="M565" s="17">
        <v>117600</v>
      </c>
      <c r="N565" s="17"/>
      <c r="O565" s="17"/>
      <c r="P565" s="17">
        <v>33600</v>
      </c>
      <c r="Q565" s="17"/>
      <c r="R565" s="17"/>
      <c r="S565" s="17"/>
      <c r="T565" s="17"/>
      <c r="U565" s="17"/>
      <c r="V565" s="17">
        <f t="shared" si="79"/>
        <v>0</v>
      </c>
      <c r="W565" s="17">
        <f>9500+3100</f>
        <v>12600</v>
      </c>
    </row>
    <row r="566" spans="1:23" ht="75">
      <c r="A566" s="134"/>
      <c r="B566" s="134"/>
      <c r="C566" s="134"/>
      <c r="D566" s="146"/>
      <c r="E566" s="16" t="s">
        <v>700</v>
      </c>
      <c r="F566" s="68">
        <f t="shared" si="78"/>
        <v>168000</v>
      </c>
      <c r="G566" s="76">
        <v>1</v>
      </c>
      <c r="H566" s="68">
        <f t="shared" si="81"/>
        <v>168000</v>
      </c>
      <c r="I566" s="24">
        <v>168000</v>
      </c>
      <c r="J566" s="17"/>
      <c r="K566" s="17"/>
      <c r="L566" s="17">
        <v>16800</v>
      </c>
      <c r="M566" s="17">
        <v>117600</v>
      </c>
      <c r="N566" s="17"/>
      <c r="O566" s="17"/>
      <c r="P566" s="17">
        <v>33600</v>
      </c>
      <c r="Q566" s="17"/>
      <c r="R566" s="17"/>
      <c r="S566" s="17"/>
      <c r="T566" s="17"/>
      <c r="U566" s="17"/>
      <c r="V566" s="17">
        <f t="shared" si="79"/>
        <v>0</v>
      </c>
      <c r="W566" s="17">
        <f>10000+5400+119000</f>
        <v>134400</v>
      </c>
    </row>
    <row r="567" spans="1:23" ht="75">
      <c r="A567" s="134"/>
      <c r="B567" s="134"/>
      <c r="C567" s="134"/>
      <c r="D567" s="146"/>
      <c r="E567" s="16" t="s">
        <v>2</v>
      </c>
      <c r="F567" s="68">
        <f t="shared" si="78"/>
        <v>168000</v>
      </c>
      <c r="G567" s="76">
        <v>1</v>
      </c>
      <c r="H567" s="68">
        <f t="shared" si="81"/>
        <v>168000</v>
      </c>
      <c r="I567" s="24">
        <v>168000</v>
      </c>
      <c r="J567" s="17"/>
      <c r="K567" s="17"/>
      <c r="L567" s="17">
        <v>16800</v>
      </c>
      <c r="M567" s="17">
        <v>117600</v>
      </c>
      <c r="N567" s="17"/>
      <c r="O567" s="17"/>
      <c r="P567" s="17">
        <v>33600</v>
      </c>
      <c r="Q567" s="17"/>
      <c r="R567" s="17"/>
      <c r="S567" s="17"/>
      <c r="T567" s="17"/>
      <c r="U567" s="17"/>
      <c r="V567" s="17">
        <f t="shared" si="79"/>
        <v>0</v>
      </c>
      <c r="W567" s="17">
        <f>9400+6400+118600</f>
        <v>134400</v>
      </c>
    </row>
    <row r="568" spans="1:23" ht="75">
      <c r="A568" s="134"/>
      <c r="B568" s="134"/>
      <c r="C568" s="134"/>
      <c r="D568" s="146"/>
      <c r="E568" s="16" t="s">
        <v>947</v>
      </c>
      <c r="F568" s="68">
        <f t="shared" si="78"/>
        <v>232000</v>
      </c>
      <c r="G568" s="76">
        <v>1</v>
      </c>
      <c r="H568" s="68">
        <f t="shared" si="81"/>
        <v>232000</v>
      </c>
      <c r="I568" s="24">
        <v>232000</v>
      </c>
      <c r="J568" s="17"/>
      <c r="K568" s="17"/>
      <c r="L568" s="17">
        <v>23200</v>
      </c>
      <c r="M568" s="17">
        <v>162400</v>
      </c>
      <c r="N568" s="17"/>
      <c r="O568" s="17"/>
      <c r="P568" s="17">
        <v>46400</v>
      </c>
      <c r="Q568" s="17"/>
      <c r="R568" s="17"/>
      <c r="S568" s="17"/>
      <c r="T568" s="17"/>
      <c r="U568" s="17"/>
      <c r="V568" s="17">
        <f t="shared" si="79"/>
        <v>0</v>
      </c>
      <c r="W568" s="17">
        <f>8800+5400+89000</f>
        <v>103200</v>
      </c>
    </row>
    <row r="569" spans="1:23" ht="93.75">
      <c r="A569" s="134"/>
      <c r="B569" s="134"/>
      <c r="C569" s="134"/>
      <c r="D569" s="146"/>
      <c r="E569" s="16" t="s">
        <v>177</v>
      </c>
      <c r="F569" s="68">
        <f t="shared" si="78"/>
        <v>100000</v>
      </c>
      <c r="G569" s="76">
        <v>1</v>
      </c>
      <c r="H569" s="68">
        <f t="shared" si="81"/>
        <v>100000</v>
      </c>
      <c r="I569" s="24">
        <v>100000</v>
      </c>
      <c r="J569" s="17"/>
      <c r="K569" s="17"/>
      <c r="L569" s="17">
        <v>10000</v>
      </c>
      <c r="M569" s="17">
        <v>70000</v>
      </c>
      <c r="N569" s="17"/>
      <c r="O569" s="17"/>
      <c r="P569" s="17">
        <v>20000</v>
      </c>
      <c r="Q569" s="17"/>
      <c r="R569" s="17"/>
      <c r="S569" s="17"/>
      <c r="T569" s="17"/>
      <c r="U569" s="17"/>
      <c r="V569" s="17">
        <f t="shared" si="79"/>
        <v>0</v>
      </c>
      <c r="W569" s="17"/>
    </row>
    <row r="570" spans="1:23" ht="112.5">
      <c r="A570" s="134"/>
      <c r="B570" s="134"/>
      <c r="C570" s="134"/>
      <c r="D570" s="146"/>
      <c r="E570" s="16" t="s">
        <v>178</v>
      </c>
      <c r="F570" s="68">
        <f t="shared" si="78"/>
        <v>100000</v>
      </c>
      <c r="G570" s="76">
        <v>1</v>
      </c>
      <c r="H570" s="68">
        <f t="shared" si="81"/>
        <v>100000</v>
      </c>
      <c r="I570" s="24">
        <v>100000</v>
      </c>
      <c r="J570" s="17"/>
      <c r="K570" s="17"/>
      <c r="L570" s="17">
        <v>10000</v>
      </c>
      <c r="M570" s="17">
        <v>70000</v>
      </c>
      <c r="N570" s="17"/>
      <c r="O570" s="17"/>
      <c r="P570" s="17">
        <v>20000</v>
      </c>
      <c r="Q570" s="17"/>
      <c r="R570" s="17"/>
      <c r="S570" s="17"/>
      <c r="T570" s="17"/>
      <c r="U570" s="17"/>
      <c r="V570" s="17">
        <f t="shared" si="79"/>
        <v>0</v>
      </c>
      <c r="W570" s="17">
        <f>8500+4500+67000</f>
        <v>80000</v>
      </c>
    </row>
    <row r="571" spans="1:23" ht="75">
      <c r="A571" s="134"/>
      <c r="B571" s="134"/>
      <c r="C571" s="134"/>
      <c r="D571" s="146"/>
      <c r="E571" s="16" t="s">
        <v>44</v>
      </c>
      <c r="F571" s="68">
        <f>I571</f>
        <v>670000</v>
      </c>
      <c r="G571" s="76">
        <v>1</v>
      </c>
      <c r="H571" s="68">
        <f>I571</f>
        <v>670000</v>
      </c>
      <c r="I571" s="24">
        <v>670000</v>
      </c>
      <c r="J571" s="17"/>
      <c r="K571" s="17"/>
      <c r="L571" s="17">
        <v>67000</v>
      </c>
      <c r="M571" s="17">
        <v>469000</v>
      </c>
      <c r="N571" s="17"/>
      <c r="O571" s="17"/>
      <c r="P571" s="17">
        <v>134000</v>
      </c>
      <c r="Q571" s="17"/>
      <c r="R571" s="17"/>
      <c r="S571" s="17"/>
      <c r="T571" s="17"/>
      <c r="U571" s="17"/>
      <c r="V571" s="17">
        <f t="shared" si="79"/>
        <v>0</v>
      </c>
      <c r="W571" s="17">
        <f>15000+22200</f>
        <v>37200</v>
      </c>
    </row>
    <row r="572" spans="1:23" ht="77.25" customHeight="1" hidden="1">
      <c r="A572" s="134"/>
      <c r="B572" s="134"/>
      <c r="C572" s="134"/>
      <c r="D572" s="146"/>
      <c r="E572" s="16" t="s">
        <v>655</v>
      </c>
      <c r="F572" s="68">
        <f>I572</f>
        <v>0</v>
      </c>
      <c r="G572" s="76">
        <v>1</v>
      </c>
      <c r="H572" s="68">
        <f>I572</f>
        <v>0</v>
      </c>
      <c r="I572" s="24">
        <f>262000-262000</f>
        <v>0</v>
      </c>
      <c r="J572" s="17"/>
      <c r="K572" s="17"/>
      <c r="L572" s="17">
        <f>26200-26200</f>
        <v>0</v>
      </c>
      <c r="M572" s="17">
        <f>183400-183400</f>
        <v>0</v>
      </c>
      <c r="N572" s="17"/>
      <c r="O572" s="17"/>
      <c r="P572" s="17">
        <f>52400-52400</f>
        <v>0</v>
      </c>
      <c r="Q572" s="17"/>
      <c r="R572" s="17"/>
      <c r="S572" s="17"/>
      <c r="T572" s="17"/>
      <c r="U572" s="17"/>
      <c r="V572" s="17">
        <f t="shared" si="79"/>
        <v>0</v>
      </c>
      <c r="W572" s="17"/>
    </row>
    <row r="573" spans="1:23" ht="75">
      <c r="A573" s="134"/>
      <c r="B573" s="134"/>
      <c r="C573" s="134"/>
      <c r="D573" s="146"/>
      <c r="E573" s="16" t="s">
        <v>162</v>
      </c>
      <c r="F573" s="68">
        <f t="shared" si="78"/>
        <v>1500000</v>
      </c>
      <c r="G573" s="76">
        <v>1</v>
      </c>
      <c r="H573" s="68">
        <f t="shared" si="81"/>
        <v>1500000</v>
      </c>
      <c r="I573" s="24">
        <v>1500000</v>
      </c>
      <c r="J573" s="17"/>
      <c r="K573" s="17"/>
      <c r="L573" s="17">
        <v>700000</v>
      </c>
      <c r="M573" s="17"/>
      <c r="N573" s="17"/>
      <c r="O573" s="17">
        <v>400000</v>
      </c>
      <c r="P573" s="17">
        <f>800000-400000</f>
        <v>400000</v>
      </c>
      <c r="Q573" s="17"/>
      <c r="R573" s="17"/>
      <c r="S573" s="17"/>
      <c r="T573" s="17"/>
      <c r="U573" s="17"/>
      <c r="V573" s="17">
        <f t="shared" si="79"/>
        <v>0</v>
      </c>
      <c r="W573" s="17">
        <f>450000+94640.49+450000</f>
        <v>994640.49</v>
      </c>
    </row>
    <row r="574" spans="1:23" ht="56.25">
      <c r="A574" s="134"/>
      <c r="B574" s="133"/>
      <c r="C574" s="134"/>
      <c r="D574" s="146"/>
      <c r="E574" s="16" t="s">
        <v>179</v>
      </c>
      <c r="F574" s="68">
        <f t="shared" si="78"/>
        <v>1800000</v>
      </c>
      <c r="G574" s="76">
        <v>1</v>
      </c>
      <c r="H574" s="68">
        <f t="shared" si="81"/>
        <v>1800000</v>
      </c>
      <c r="I574" s="24">
        <v>1800000</v>
      </c>
      <c r="J574" s="17"/>
      <c r="K574" s="17"/>
      <c r="L574" s="17">
        <f>880000-34880</f>
        <v>845120</v>
      </c>
      <c r="M574" s="17"/>
      <c r="N574" s="17">
        <f>-845120</f>
        <v>-845120</v>
      </c>
      <c r="O574" s="17">
        <v>1000000</v>
      </c>
      <c r="P574" s="17">
        <f>920000+34880-154880-650000</f>
        <v>150000</v>
      </c>
      <c r="Q574" s="17">
        <f>346296-346296</f>
        <v>0</v>
      </c>
      <c r="R574" s="17">
        <f>70000-70000</f>
        <v>0</v>
      </c>
      <c r="S574" s="17">
        <f>428824-428824+538776</f>
        <v>538776</v>
      </c>
      <c r="T574" s="17">
        <v>111224</v>
      </c>
      <c r="U574" s="17"/>
      <c r="V574" s="17">
        <f t="shared" si="79"/>
        <v>0</v>
      </c>
      <c r="W574" s="17"/>
    </row>
    <row r="575" spans="1:23" ht="18.75" customHeight="1">
      <c r="A575" s="132" t="s">
        <v>3</v>
      </c>
      <c r="B575" s="132" t="s">
        <v>4</v>
      </c>
      <c r="C575" s="132" t="s">
        <v>852</v>
      </c>
      <c r="D575" s="145" t="s">
        <v>853</v>
      </c>
      <c r="E575" s="44"/>
      <c r="F575" s="44"/>
      <c r="G575" s="44"/>
      <c r="H575" s="44"/>
      <c r="I575" s="35">
        <f>SUM(I576:I577)</f>
        <v>2000000</v>
      </c>
      <c r="J575" s="35">
        <f aca="true" t="shared" si="82" ref="J575:W575">SUM(J576:J577)</f>
        <v>0</v>
      </c>
      <c r="K575" s="35">
        <f t="shared" si="82"/>
        <v>0</v>
      </c>
      <c r="L575" s="35">
        <f t="shared" si="82"/>
        <v>0</v>
      </c>
      <c r="M575" s="35">
        <f t="shared" si="82"/>
        <v>0</v>
      </c>
      <c r="N575" s="35">
        <f t="shared" si="82"/>
        <v>0</v>
      </c>
      <c r="O575" s="35">
        <f t="shared" si="82"/>
        <v>0</v>
      </c>
      <c r="P575" s="35">
        <f t="shared" si="82"/>
        <v>0</v>
      </c>
      <c r="Q575" s="35">
        <f t="shared" si="82"/>
        <v>0</v>
      </c>
      <c r="R575" s="35">
        <f t="shared" si="82"/>
        <v>0</v>
      </c>
      <c r="S575" s="35">
        <f t="shared" si="82"/>
        <v>1000000</v>
      </c>
      <c r="T575" s="35">
        <f t="shared" si="82"/>
        <v>1000000</v>
      </c>
      <c r="U575" s="35">
        <f t="shared" si="82"/>
        <v>0</v>
      </c>
      <c r="V575" s="35">
        <f t="shared" si="82"/>
        <v>0</v>
      </c>
      <c r="W575" s="35">
        <f t="shared" si="82"/>
        <v>0</v>
      </c>
    </row>
    <row r="576" spans="1:23" ht="56.25">
      <c r="A576" s="134"/>
      <c r="B576" s="134"/>
      <c r="C576" s="134"/>
      <c r="D576" s="146"/>
      <c r="E576" s="45" t="s">
        <v>341</v>
      </c>
      <c r="F576" s="45"/>
      <c r="G576" s="45"/>
      <c r="H576" s="45"/>
      <c r="I576" s="24">
        <v>1000000</v>
      </c>
      <c r="J576" s="17"/>
      <c r="K576" s="17"/>
      <c r="L576" s="17"/>
      <c r="M576" s="17"/>
      <c r="N576" s="17"/>
      <c r="O576" s="17"/>
      <c r="P576" s="17"/>
      <c r="Q576" s="17"/>
      <c r="R576" s="17"/>
      <c r="S576" s="17">
        <v>1000000</v>
      </c>
      <c r="T576" s="17"/>
      <c r="U576" s="17"/>
      <c r="V576" s="17">
        <f t="shared" si="79"/>
        <v>0</v>
      </c>
      <c r="W576" s="17"/>
    </row>
    <row r="577" spans="1:23" ht="37.5">
      <c r="A577" s="133"/>
      <c r="B577" s="133"/>
      <c r="C577" s="133"/>
      <c r="D577" s="135"/>
      <c r="E577" s="45" t="s">
        <v>184</v>
      </c>
      <c r="F577" s="45"/>
      <c r="G577" s="45"/>
      <c r="H577" s="45"/>
      <c r="I577" s="24">
        <v>1000000</v>
      </c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>
        <v>1000000</v>
      </c>
      <c r="U577" s="17"/>
      <c r="V577" s="17">
        <f t="shared" si="79"/>
        <v>0</v>
      </c>
      <c r="W577" s="17"/>
    </row>
    <row r="578" spans="1:23" ht="18.75">
      <c r="A578" s="132" t="s">
        <v>5</v>
      </c>
      <c r="B578" s="132" t="s">
        <v>711</v>
      </c>
      <c r="C578" s="132" t="s">
        <v>854</v>
      </c>
      <c r="D578" s="145" t="s">
        <v>40</v>
      </c>
      <c r="E578" s="44"/>
      <c r="F578" s="44"/>
      <c r="G578" s="44"/>
      <c r="H578" s="44"/>
      <c r="I578" s="35">
        <f>SUM(I579:I701)</f>
        <v>86059127</v>
      </c>
      <c r="J578" s="35">
        <f aca="true" t="shared" si="83" ref="J578:W578">SUM(J579:J701)</f>
        <v>0</v>
      </c>
      <c r="K578" s="35">
        <f t="shared" si="83"/>
        <v>894745</v>
      </c>
      <c r="L578" s="35">
        <f t="shared" si="83"/>
        <v>20489079</v>
      </c>
      <c r="M578" s="35">
        <f t="shared" si="83"/>
        <v>5649336</v>
      </c>
      <c r="N578" s="35">
        <f t="shared" si="83"/>
        <v>7180675</v>
      </c>
      <c r="O578" s="35">
        <f t="shared" si="83"/>
        <v>5489425.31</v>
      </c>
      <c r="P578" s="35">
        <f t="shared" si="83"/>
        <v>9895509.85</v>
      </c>
      <c r="Q578" s="35">
        <f t="shared" si="83"/>
        <v>11088117</v>
      </c>
      <c r="R578" s="35">
        <f t="shared" si="83"/>
        <v>4121422</v>
      </c>
      <c r="S578" s="35">
        <f t="shared" si="83"/>
        <v>7577677</v>
      </c>
      <c r="T578" s="35">
        <f t="shared" si="83"/>
        <v>5099700</v>
      </c>
      <c r="U578" s="35">
        <f t="shared" si="83"/>
        <v>8573440.84</v>
      </c>
      <c r="V578" s="35">
        <f t="shared" si="83"/>
        <v>-8.731149137020111E-11</v>
      </c>
      <c r="W578" s="35">
        <f t="shared" si="83"/>
        <v>28220038.16</v>
      </c>
    </row>
    <row r="579" spans="1:23" ht="75">
      <c r="A579" s="134"/>
      <c r="B579" s="134"/>
      <c r="C579" s="134"/>
      <c r="D579" s="146"/>
      <c r="E579" s="44" t="s">
        <v>638</v>
      </c>
      <c r="F579" s="68">
        <f>I579</f>
        <v>767000</v>
      </c>
      <c r="G579" s="76">
        <v>1</v>
      </c>
      <c r="H579" s="68">
        <f aca="true" t="shared" si="84" ref="H579:H648">I579</f>
        <v>767000</v>
      </c>
      <c r="I579" s="30">
        <v>767000</v>
      </c>
      <c r="J579" s="116"/>
      <c r="K579" s="116"/>
      <c r="L579" s="116"/>
      <c r="M579" s="116"/>
      <c r="N579" s="116"/>
      <c r="O579" s="116"/>
      <c r="P579" s="116">
        <v>76700</v>
      </c>
      <c r="Q579" s="116">
        <v>536900</v>
      </c>
      <c r="R579" s="116"/>
      <c r="S579" s="116">
        <v>153400</v>
      </c>
      <c r="T579" s="116"/>
      <c r="U579" s="116"/>
      <c r="V579" s="17">
        <f t="shared" si="79"/>
        <v>0</v>
      </c>
      <c r="W579" s="17"/>
    </row>
    <row r="580" spans="1:23" ht="43.5" customHeight="1">
      <c r="A580" s="134"/>
      <c r="B580" s="134"/>
      <c r="C580" s="134"/>
      <c r="D580" s="146"/>
      <c r="E580" s="44" t="s">
        <v>191</v>
      </c>
      <c r="F580" s="68">
        <f aca="true" t="shared" si="85" ref="F580:F649">I580</f>
        <v>80000</v>
      </c>
      <c r="G580" s="76">
        <v>1</v>
      </c>
      <c r="H580" s="68">
        <f t="shared" si="84"/>
        <v>80000</v>
      </c>
      <c r="I580" s="30">
        <v>80000</v>
      </c>
      <c r="J580" s="116"/>
      <c r="K580" s="116"/>
      <c r="L580" s="116"/>
      <c r="M580" s="116"/>
      <c r="N580" s="116"/>
      <c r="O580" s="116"/>
      <c r="P580" s="116">
        <v>8000</v>
      </c>
      <c r="Q580" s="116">
        <v>56000</v>
      </c>
      <c r="R580" s="116"/>
      <c r="S580" s="116">
        <v>16000</v>
      </c>
      <c r="T580" s="116"/>
      <c r="U580" s="116"/>
      <c r="V580" s="17">
        <f t="shared" si="79"/>
        <v>0</v>
      </c>
      <c r="W580" s="17"/>
    </row>
    <row r="581" spans="1:23" ht="43.5" customHeight="1">
      <c r="A581" s="134"/>
      <c r="B581" s="134"/>
      <c r="C581" s="134"/>
      <c r="D581" s="146"/>
      <c r="E581" s="44" t="s">
        <v>342</v>
      </c>
      <c r="F581" s="68">
        <f t="shared" si="85"/>
        <v>140000</v>
      </c>
      <c r="G581" s="76">
        <v>1</v>
      </c>
      <c r="H581" s="68">
        <f t="shared" si="84"/>
        <v>140000</v>
      </c>
      <c r="I581" s="30">
        <v>140000</v>
      </c>
      <c r="J581" s="116"/>
      <c r="K581" s="116"/>
      <c r="L581" s="116"/>
      <c r="M581" s="116"/>
      <c r="N581" s="116"/>
      <c r="O581" s="116"/>
      <c r="P581" s="116">
        <v>14000</v>
      </c>
      <c r="Q581" s="116">
        <v>98000</v>
      </c>
      <c r="R581" s="116"/>
      <c r="S581" s="116">
        <v>28000</v>
      </c>
      <c r="T581" s="116"/>
      <c r="U581" s="116"/>
      <c r="V581" s="17">
        <f t="shared" si="79"/>
        <v>0</v>
      </c>
      <c r="W581" s="17"/>
    </row>
    <row r="582" spans="1:23" ht="62.25" customHeight="1">
      <c r="A582" s="134"/>
      <c r="B582" s="134"/>
      <c r="C582" s="134"/>
      <c r="D582" s="146"/>
      <c r="E582" s="44" t="s">
        <v>1014</v>
      </c>
      <c r="F582" s="68">
        <f t="shared" si="85"/>
        <v>153400</v>
      </c>
      <c r="G582" s="76">
        <v>1</v>
      </c>
      <c r="H582" s="68">
        <f t="shared" si="84"/>
        <v>153400</v>
      </c>
      <c r="I582" s="30">
        <v>153400</v>
      </c>
      <c r="J582" s="116"/>
      <c r="K582" s="116"/>
      <c r="L582" s="116"/>
      <c r="M582" s="116"/>
      <c r="N582" s="116"/>
      <c r="O582" s="116"/>
      <c r="P582" s="116">
        <v>15340</v>
      </c>
      <c r="Q582" s="116">
        <v>107380</v>
      </c>
      <c r="R582" s="116"/>
      <c r="S582" s="116">
        <v>30680</v>
      </c>
      <c r="T582" s="116"/>
      <c r="U582" s="116"/>
      <c r="V582" s="17">
        <f t="shared" si="79"/>
        <v>0</v>
      </c>
      <c r="W582" s="17"/>
    </row>
    <row r="583" spans="1:23" ht="56.25">
      <c r="A583" s="134"/>
      <c r="B583" s="134"/>
      <c r="C583" s="134"/>
      <c r="D583" s="146"/>
      <c r="E583" s="44" t="s">
        <v>473</v>
      </c>
      <c r="F583" s="68">
        <f t="shared" si="85"/>
        <v>153400</v>
      </c>
      <c r="G583" s="76">
        <v>1</v>
      </c>
      <c r="H583" s="68">
        <f t="shared" si="84"/>
        <v>153400</v>
      </c>
      <c r="I583" s="30">
        <v>153400</v>
      </c>
      <c r="J583" s="116"/>
      <c r="K583" s="116"/>
      <c r="L583" s="116"/>
      <c r="M583" s="116"/>
      <c r="N583" s="116"/>
      <c r="O583" s="116"/>
      <c r="P583" s="116">
        <v>15340</v>
      </c>
      <c r="Q583" s="116">
        <v>107380</v>
      </c>
      <c r="R583" s="116"/>
      <c r="S583" s="116">
        <v>30680</v>
      </c>
      <c r="T583" s="116"/>
      <c r="U583" s="116"/>
      <c r="V583" s="17">
        <f t="shared" si="79"/>
        <v>0</v>
      </c>
      <c r="W583" s="17"/>
    </row>
    <row r="584" spans="1:23" ht="46.5" customHeight="1">
      <c r="A584" s="134"/>
      <c r="B584" s="134"/>
      <c r="C584" s="134"/>
      <c r="D584" s="146"/>
      <c r="E584" s="44" t="s">
        <v>1081</v>
      </c>
      <c r="F584" s="68">
        <f t="shared" si="85"/>
        <v>200000</v>
      </c>
      <c r="G584" s="76">
        <v>1</v>
      </c>
      <c r="H584" s="68">
        <f t="shared" si="84"/>
        <v>200000</v>
      </c>
      <c r="I584" s="30">
        <v>200000</v>
      </c>
      <c r="J584" s="116"/>
      <c r="K584" s="116"/>
      <c r="L584" s="116"/>
      <c r="M584" s="116"/>
      <c r="N584" s="116"/>
      <c r="O584" s="116"/>
      <c r="P584" s="116">
        <v>20000</v>
      </c>
      <c r="Q584" s="116">
        <v>140000</v>
      </c>
      <c r="R584" s="116"/>
      <c r="S584" s="116">
        <v>40000</v>
      </c>
      <c r="T584" s="116"/>
      <c r="U584" s="116"/>
      <c r="V584" s="17">
        <f t="shared" si="79"/>
        <v>0</v>
      </c>
      <c r="W584" s="17"/>
    </row>
    <row r="585" spans="1:23" ht="44.25" customHeight="1">
      <c r="A585" s="134"/>
      <c r="B585" s="134"/>
      <c r="C585" s="134"/>
      <c r="D585" s="146"/>
      <c r="E585" s="44" t="s">
        <v>1082</v>
      </c>
      <c r="F585" s="68">
        <f t="shared" si="85"/>
        <v>200000</v>
      </c>
      <c r="G585" s="76">
        <v>1</v>
      </c>
      <c r="H585" s="68">
        <f t="shared" si="84"/>
        <v>200000</v>
      </c>
      <c r="I585" s="30">
        <v>200000</v>
      </c>
      <c r="J585" s="116"/>
      <c r="K585" s="116"/>
      <c r="L585" s="116"/>
      <c r="M585" s="116"/>
      <c r="N585" s="116"/>
      <c r="O585" s="116"/>
      <c r="P585" s="116">
        <v>20000</v>
      </c>
      <c r="Q585" s="116">
        <v>140000</v>
      </c>
      <c r="R585" s="116"/>
      <c r="S585" s="116">
        <v>40000</v>
      </c>
      <c r="T585" s="116"/>
      <c r="U585" s="116"/>
      <c r="V585" s="17">
        <f t="shared" si="79"/>
        <v>0</v>
      </c>
      <c r="W585" s="17"/>
    </row>
    <row r="586" spans="1:23" ht="56.25">
      <c r="A586" s="134"/>
      <c r="B586" s="134"/>
      <c r="C586" s="134"/>
      <c r="D586" s="146"/>
      <c r="E586" s="44" t="s">
        <v>1021</v>
      </c>
      <c r="F586" s="68">
        <f t="shared" si="85"/>
        <v>100000</v>
      </c>
      <c r="G586" s="76">
        <v>1</v>
      </c>
      <c r="H586" s="68">
        <f t="shared" si="84"/>
        <v>100000</v>
      </c>
      <c r="I586" s="30">
        <v>100000</v>
      </c>
      <c r="J586" s="116"/>
      <c r="K586" s="116"/>
      <c r="L586" s="116"/>
      <c r="M586" s="116"/>
      <c r="N586" s="116"/>
      <c r="O586" s="116"/>
      <c r="P586" s="116">
        <v>10000</v>
      </c>
      <c r="Q586" s="116">
        <v>70000</v>
      </c>
      <c r="R586" s="116"/>
      <c r="S586" s="116">
        <v>20000</v>
      </c>
      <c r="T586" s="116"/>
      <c r="U586" s="116"/>
      <c r="V586" s="17">
        <f t="shared" si="79"/>
        <v>0</v>
      </c>
      <c r="W586" s="17"/>
    </row>
    <row r="587" spans="1:23" ht="56.25">
      <c r="A587" s="134"/>
      <c r="B587" s="134"/>
      <c r="C587" s="134"/>
      <c r="D587" s="146"/>
      <c r="E587" s="44" t="s">
        <v>632</v>
      </c>
      <c r="F587" s="68">
        <f t="shared" si="85"/>
        <v>100000</v>
      </c>
      <c r="G587" s="76">
        <v>1</v>
      </c>
      <c r="H587" s="68">
        <f t="shared" si="84"/>
        <v>100000</v>
      </c>
      <c r="I587" s="30">
        <v>100000</v>
      </c>
      <c r="J587" s="116"/>
      <c r="K587" s="116"/>
      <c r="L587" s="116"/>
      <c r="M587" s="116"/>
      <c r="N587" s="116"/>
      <c r="O587" s="116"/>
      <c r="P587" s="116">
        <v>10000</v>
      </c>
      <c r="Q587" s="116">
        <v>70000</v>
      </c>
      <c r="R587" s="116"/>
      <c r="S587" s="116">
        <v>20000</v>
      </c>
      <c r="T587" s="116"/>
      <c r="U587" s="116"/>
      <c r="V587" s="17">
        <f aca="true" t="shared" si="86" ref="V587:V656">I587-J587-K587-L587-M587-N587-O587-P587-Q587-R587-S587-T587-U587</f>
        <v>0</v>
      </c>
      <c r="W587" s="17"/>
    </row>
    <row r="588" spans="1:23" ht="66.75" customHeight="1">
      <c r="A588" s="134"/>
      <c r="B588" s="134"/>
      <c r="C588" s="134"/>
      <c r="D588" s="146"/>
      <c r="E588" s="44" t="s">
        <v>355</v>
      </c>
      <c r="F588" s="68">
        <f t="shared" si="85"/>
        <v>225600</v>
      </c>
      <c r="G588" s="76">
        <v>1</v>
      </c>
      <c r="H588" s="68">
        <f t="shared" si="84"/>
        <v>225600</v>
      </c>
      <c r="I588" s="30">
        <v>225600</v>
      </c>
      <c r="J588" s="116"/>
      <c r="K588" s="116"/>
      <c r="L588" s="116"/>
      <c r="M588" s="116"/>
      <c r="N588" s="116"/>
      <c r="O588" s="116"/>
      <c r="P588" s="116">
        <v>22560</v>
      </c>
      <c r="Q588" s="116">
        <v>157920</v>
      </c>
      <c r="R588" s="116"/>
      <c r="S588" s="116">
        <v>45120</v>
      </c>
      <c r="T588" s="116"/>
      <c r="U588" s="116"/>
      <c r="V588" s="17">
        <f t="shared" si="86"/>
        <v>0</v>
      </c>
      <c r="W588" s="17"/>
    </row>
    <row r="589" spans="1:23" ht="65.25" customHeight="1">
      <c r="A589" s="134"/>
      <c r="B589" s="134"/>
      <c r="C589" s="134"/>
      <c r="D589" s="146"/>
      <c r="E589" s="44" t="s">
        <v>1012</v>
      </c>
      <c r="F589" s="68">
        <f t="shared" si="85"/>
        <v>225700</v>
      </c>
      <c r="G589" s="76">
        <v>1</v>
      </c>
      <c r="H589" s="68">
        <f t="shared" si="84"/>
        <v>225700</v>
      </c>
      <c r="I589" s="30">
        <v>225700</v>
      </c>
      <c r="J589" s="116"/>
      <c r="K589" s="116"/>
      <c r="L589" s="116"/>
      <c r="M589" s="116"/>
      <c r="N589" s="116"/>
      <c r="O589" s="116"/>
      <c r="P589" s="116">
        <v>22570</v>
      </c>
      <c r="Q589" s="116">
        <v>157990</v>
      </c>
      <c r="R589" s="116"/>
      <c r="S589" s="116">
        <v>45140</v>
      </c>
      <c r="T589" s="116"/>
      <c r="U589" s="116"/>
      <c r="V589" s="17">
        <f t="shared" si="86"/>
        <v>0</v>
      </c>
      <c r="W589" s="17"/>
    </row>
    <row r="590" spans="1:23" ht="79.5" customHeight="1">
      <c r="A590" s="134"/>
      <c r="B590" s="134"/>
      <c r="C590" s="134"/>
      <c r="D590" s="146"/>
      <c r="E590" s="44" t="s">
        <v>1056</v>
      </c>
      <c r="F590" s="68">
        <f t="shared" si="85"/>
        <v>600000</v>
      </c>
      <c r="G590" s="76">
        <v>1</v>
      </c>
      <c r="H590" s="68">
        <f t="shared" si="84"/>
        <v>600000</v>
      </c>
      <c r="I590" s="30">
        <v>600000</v>
      </c>
      <c r="J590" s="116"/>
      <c r="K590" s="116"/>
      <c r="L590" s="116"/>
      <c r="M590" s="116"/>
      <c r="N590" s="116"/>
      <c r="O590" s="116"/>
      <c r="P590" s="116">
        <v>60000</v>
      </c>
      <c r="Q590" s="116">
        <v>420000</v>
      </c>
      <c r="R590" s="116"/>
      <c r="S590" s="116">
        <v>120000</v>
      </c>
      <c r="T590" s="116"/>
      <c r="U590" s="116"/>
      <c r="V590" s="17">
        <f t="shared" si="86"/>
        <v>0</v>
      </c>
      <c r="W590" s="17"/>
    </row>
    <row r="591" spans="1:23" ht="62.25" customHeight="1">
      <c r="A591" s="134"/>
      <c r="B591" s="134"/>
      <c r="C591" s="134"/>
      <c r="D591" s="146"/>
      <c r="E591" s="44" t="s">
        <v>633</v>
      </c>
      <c r="F591" s="68">
        <f t="shared" si="85"/>
        <v>100000</v>
      </c>
      <c r="G591" s="76">
        <v>1</v>
      </c>
      <c r="H591" s="68">
        <f t="shared" si="84"/>
        <v>100000</v>
      </c>
      <c r="I591" s="30">
        <v>100000</v>
      </c>
      <c r="J591" s="116"/>
      <c r="K591" s="116"/>
      <c r="L591" s="116"/>
      <c r="M591" s="116"/>
      <c r="N591" s="116"/>
      <c r="O591" s="116"/>
      <c r="P591" s="116">
        <v>10000</v>
      </c>
      <c r="Q591" s="116">
        <v>70000</v>
      </c>
      <c r="R591" s="116"/>
      <c r="S591" s="116">
        <v>20000</v>
      </c>
      <c r="T591" s="116"/>
      <c r="U591" s="116"/>
      <c r="V591" s="17">
        <f t="shared" si="86"/>
        <v>0</v>
      </c>
      <c r="W591" s="17"/>
    </row>
    <row r="592" spans="1:23" ht="63" customHeight="1">
      <c r="A592" s="134"/>
      <c r="B592" s="134"/>
      <c r="C592" s="134"/>
      <c r="D592" s="146"/>
      <c r="E592" s="44" t="s">
        <v>1083</v>
      </c>
      <c r="F592" s="68">
        <f t="shared" si="85"/>
        <v>620000</v>
      </c>
      <c r="G592" s="76">
        <v>1</v>
      </c>
      <c r="H592" s="68">
        <f t="shared" si="84"/>
        <v>620000</v>
      </c>
      <c r="I592" s="30">
        <v>620000</v>
      </c>
      <c r="J592" s="116"/>
      <c r="K592" s="116"/>
      <c r="L592" s="116"/>
      <c r="M592" s="116"/>
      <c r="N592" s="116"/>
      <c r="O592" s="116"/>
      <c r="P592" s="116">
        <v>62000</v>
      </c>
      <c r="Q592" s="116">
        <v>434000</v>
      </c>
      <c r="R592" s="116"/>
      <c r="S592" s="116">
        <v>124000</v>
      </c>
      <c r="T592" s="116"/>
      <c r="U592" s="116"/>
      <c r="V592" s="17">
        <f t="shared" si="86"/>
        <v>0</v>
      </c>
      <c r="W592" s="17"/>
    </row>
    <row r="593" spans="1:23" ht="45.75" customHeight="1">
      <c r="A593" s="134"/>
      <c r="B593" s="134"/>
      <c r="C593" s="134"/>
      <c r="D593" s="146"/>
      <c r="E593" s="44" t="s">
        <v>190</v>
      </c>
      <c r="F593" s="68">
        <f t="shared" si="85"/>
        <v>80000</v>
      </c>
      <c r="G593" s="76">
        <v>1</v>
      </c>
      <c r="H593" s="68">
        <f t="shared" si="84"/>
        <v>80000</v>
      </c>
      <c r="I593" s="30">
        <v>80000</v>
      </c>
      <c r="J593" s="116"/>
      <c r="K593" s="116"/>
      <c r="L593" s="116"/>
      <c r="M593" s="116"/>
      <c r="N593" s="116"/>
      <c r="O593" s="116"/>
      <c r="P593" s="116">
        <v>8000</v>
      </c>
      <c r="Q593" s="116">
        <v>56000</v>
      </c>
      <c r="R593" s="116"/>
      <c r="S593" s="116">
        <v>16000</v>
      </c>
      <c r="T593" s="116"/>
      <c r="U593" s="116"/>
      <c r="V593" s="17">
        <f t="shared" si="86"/>
        <v>0</v>
      </c>
      <c r="W593" s="17"/>
    </row>
    <row r="594" spans="1:23" ht="44.25" customHeight="1">
      <c r="A594" s="134"/>
      <c r="B594" s="134"/>
      <c r="C594" s="134"/>
      <c r="D594" s="146"/>
      <c r="E594" s="44" t="s">
        <v>1054</v>
      </c>
      <c r="F594" s="68">
        <f t="shared" si="85"/>
        <v>200000</v>
      </c>
      <c r="G594" s="76">
        <v>1</v>
      </c>
      <c r="H594" s="68">
        <f t="shared" si="84"/>
        <v>200000</v>
      </c>
      <c r="I594" s="30">
        <v>200000</v>
      </c>
      <c r="J594" s="116"/>
      <c r="K594" s="116"/>
      <c r="L594" s="116"/>
      <c r="M594" s="116"/>
      <c r="N594" s="116"/>
      <c r="O594" s="116"/>
      <c r="P594" s="116">
        <v>20000</v>
      </c>
      <c r="Q594" s="116">
        <v>140000</v>
      </c>
      <c r="R594" s="116"/>
      <c r="S594" s="116">
        <v>40000</v>
      </c>
      <c r="T594" s="116"/>
      <c r="U594" s="116"/>
      <c r="V594" s="17">
        <f t="shared" si="86"/>
        <v>0</v>
      </c>
      <c r="W594" s="17"/>
    </row>
    <row r="595" spans="1:23" ht="56.25">
      <c r="A595" s="134"/>
      <c r="B595" s="134"/>
      <c r="C595" s="134"/>
      <c r="D595" s="146"/>
      <c r="E595" s="44" t="s">
        <v>1019</v>
      </c>
      <c r="F595" s="68">
        <f t="shared" si="85"/>
        <v>100000</v>
      </c>
      <c r="G595" s="76">
        <v>1</v>
      </c>
      <c r="H595" s="68">
        <f t="shared" si="84"/>
        <v>100000</v>
      </c>
      <c r="I595" s="30">
        <v>100000</v>
      </c>
      <c r="J595" s="116"/>
      <c r="K595" s="116"/>
      <c r="L595" s="116"/>
      <c r="M595" s="116"/>
      <c r="N595" s="116"/>
      <c r="O595" s="116"/>
      <c r="P595" s="116">
        <v>10000</v>
      </c>
      <c r="Q595" s="116">
        <v>70000</v>
      </c>
      <c r="R595" s="116"/>
      <c r="S595" s="116">
        <v>20000</v>
      </c>
      <c r="T595" s="116"/>
      <c r="U595" s="116"/>
      <c r="V595" s="17">
        <f t="shared" si="86"/>
        <v>0</v>
      </c>
      <c r="W595" s="17"/>
    </row>
    <row r="596" spans="1:23" ht="56.25">
      <c r="A596" s="134"/>
      <c r="B596" s="134"/>
      <c r="C596" s="134"/>
      <c r="D596" s="146"/>
      <c r="E596" s="44" t="s">
        <v>161</v>
      </c>
      <c r="F596" s="68">
        <f>I596</f>
        <v>117000</v>
      </c>
      <c r="G596" s="76">
        <v>1</v>
      </c>
      <c r="H596" s="68">
        <f>I596</f>
        <v>117000</v>
      </c>
      <c r="I596" s="30">
        <v>117000</v>
      </c>
      <c r="J596" s="116"/>
      <c r="K596" s="116"/>
      <c r="L596" s="116"/>
      <c r="M596" s="116"/>
      <c r="N596" s="116"/>
      <c r="O596" s="116"/>
      <c r="P596" s="116">
        <v>11700</v>
      </c>
      <c r="Q596" s="116">
        <v>81900</v>
      </c>
      <c r="R596" s="116"/>
      <c r="S596" s="116">
        <v>23400</v>
      </c>
      <c r="T596" s="116"/>
      <c r="U596" s="116"/>
      <c r="V596" s="17">
        <f>I596-J596-K596-L596-M596-N596-O596-P596-Q596-R596-S596-T596-U596</f>
        <v>0</v>
      </c>
      <c r="W596" s="17"/>
    </row>
    <row r="597" spans="1:23" ht="56.25">
      <c r="A597" s="134"/>
      <c r="B597" s="134"/>
      <c r="C597" s="134"/>
      <c r="D597" s="146"/>
      <c r="E597" s="44" t="s">
        <v>307</v>
      </c>
      <c r="F597" s="68">
        <f>I597</f>
        <v>40000</v>
      </c>
      <c r="G597" s="76"/>
      <c r="H597" s="68">
        <f>I597</f>
        <v>40000</v>
      </c>
      <c r="I597" s="30">
        <v>40000</v>
      </c>
      <c r="J597" s="116"/>
      <c r="K597" s="116"/>
      <c r="L597" s="116"/>
      <c r="M597" s="116">
        <v>4000</v>
      </c>
      <c r="N597" s="116"/>
      <c r="O597" s="116"/>
      <c r="P597" s="116"/>
      <c r="Q597" s="116"/>
      <c r="R597" s="116"/>
      <c r="S597" s="116">
        <v>28000</v>
      </c>
      <c r="T597" s="116"/>
      <c r="U597" s="116">
        <v>8000</v>
      </c>
      <c r="V597" s="17">
        <f>I597-J597-K597-L597-M597-N597-O597-P597-Q597-R597-S597-T597-U597</f>
        <v>0</v>
      </c>
      <c r="W597" s="17"/>
    </row>
    <row r="598" spans="1:23" ht="93.75">
      <c r="A598" s="134"/>
      <c r="B598" s="134"/>
      <c r="C598" s="134"/>
      <c r="D598" s="146"/>
      <c r="E598" s="44" t="s">
        <v>308</v>
      </c>
      <c r="F598" s="68">
        <f>I598</f>
        <v>50000</v>
      </c>
      <c r="G598" s="76"/>
      <c r="H598" s="68">
        <f>I598</f>
        <v>50000</v>
      </c>
      <c r="I598" s="30">
        <v>50000</v>
      </c>
      <c r="J598" s="116"/>
      <c r="K598" s="116"/>
      <c r="L598" s="116"/>
      <c r="M598" s="116"/>
      <c r="N598" s="116"/>
      <c r="O598" s="116"/>
      <c r="P598" s="116">
        <v>5000</v>
      </c>
      <c r="Q598" s="116">
        <v>35000</v>
      </c>
      <c r="R598" s="116"/>
      <c r="S598" s="116">
        <v>10000</v>
      </c>
      <c r="T598" s="116"/>
      <c r="U598" s="116"/>
      <c r="V598" s="17">
        <f>I598-J598-K598-L598-M598-N598-O598-P598-Q598-R598-S598-T598-U598</f>
        <v>0</v>
      </c>
      <c r="W598" s="17"/>
    </row>
    <row r="599" spans="1:23" ht="60" customHeight="1">
      <c r="A599" s="134"/>
      <c r="B599" s="134"/>
      <c r="C599" s="134"/>
      <c r="D599" s="146"/>
      <c r="E599" s="44" t="s">
        <v>474</v>
      </c>
      <c r="F599" s="68">
        <f t="shared" si="85"/>
        <v>153400</v>
      </c>
      <c r="G599" s="76">
        <v>1</v>
      </c>
      <c r="H599" s="68">
        <f t="shared" si="84"/>
        <v>153400</v>
      </c>
      <c r="I599" s="30">
        <v>153400</v>
      </c>
      <c r="J599" s="116"/>
      <c r="K599" s="116"/>
      <c r="L599" s="116"/>
      <c r="M599" s="116"/>
      <c r="N599" s="116"/>
      <c r="O599" s="116"/>
      <c r="P599" s="116">
        <v>15340</v>
      </c>
      <c r="Q599" s="116">
        <v>107380</v>
      </c>
      <c r="R599" s="116"/>
      <c r="S599" s="116">
        <v>30680</v>
      </c>
      <c r="T599" s="116"/>
      <c r="U599" s="116"/>
      <c r="V599" s="17">
        <f t="shared" si="86"/>
        <v>0</v>
      </c>
      <c r="W599" s="17"/>
    </row>
    <row r="600" spans="1:23" ht="56.25">
      <c r="A600" s="134"/>
      <c r="B600" s="134"/>
      <c r="C600" s="134"/>
      <c r="D600" s="146"/>
      <c r="E600" s="44" t="s">
        <v>475</v>
      </c>
      <c r="F600" s="68">
        <f t="shared" si="85"/>
        <v>153400</v>
      </c>
      <c r="G600" s="76">
        <v>1</v>
      </c>
      <c r="H600" s="68">
        <f t="shared" si="84"/>
        <v>153400</v>
      </c>
      <c r="I600" s="30">
        <v>153400</v>
      </c>
      <c r="J600" s="116"/>
      <c r="K600" s="116"/>
      <c r="L600" s="116"/>
      <c r="M600" s="116"/>
      <c r="N600" s="116"/>
      <c r="O600" s="116"/>
      <c r="P600" s="116">
        <f>15340</f>
        <v>15340</v>
      </c>
      <c r="Q600" s="116">
        <v>107380</v>
      </c>
      <c r="R600" s="116"/>
      <c r="S600" s="116">
        <v>30680</v>
      </c>
      <c r="T600" s="116"/>
      <c r="U600" s="116"/>
      <c r="V600" s="17">
        <f t="shared" si="86"/>
        <v>0</v>
      </c>
      <c r="W600" s="17"/>
    </row>
    <row r="601" spans="1:23" ht="63" customHeight="1">
      <c r="A601" s="134"/>
      <c r="B601" s="134"/>
      <c r="C601" s="134"/>
      <c r="D601" s="146"/>
      <c r="E601" s="44" t="s">
        <v>653</v>
      </c>
      <c r="F601" s="68">
        <f t="shared" si="85"/>
        <v>153400</v>
      </c>
      <c r="G601" s="76">
        <v>1</v>
      </c>
      <c r="H601" s="68">
        <f t="shared" si="84"/>
        <v>153400</v>
      </c>
      <c r="I601" s="30">
        <v>153400</v>
      </c>
      <c r="J601" s="116"/>
      <c r="K601" s="116"/>
      <c r="L601" s="116"/>
      <c r="M601" s="116"/>
      <c r="N601" s="116"/>
      <c r="O601" s="116"/>
      <c r="P601" s="116">
        <v>15340</v>
      </c>
      <c r="Q601" s="116">
        <v>107380</v>
      </c>
      <c r="R601" s="116"/>
      <c r="S601" s="116">
        <v>30680</v>
      </c>
      <c r="T601" s="116"/>
      <c r="U601" s="116"/>
      <c r="V601" s="17">
        <f t="shared" si="86"/>
        <v>0</v>
      </c>
      <c r="W601" s="17"/>
    </row>
    <row r="602" spans="1:23" ht="98.25" customHeight="1">
      <c r="A602" s="134"/>
      <c r="B602" s="134"/>
      <c r="C602" s="134"/>
      <c r="D602" s="146"/>
      <c r="E602" s="44" t="s">
        <v>636</v>
      </c>
      <c r="F602" s="68">
        <f t="shared" si="85"/>
        <v>560000</v>
      </c>
      <c r="G602" s="76">
        <v>1</v>
      </c>
      <c r="H602" s="68">
        <f t="shared" si="84"/>
        <v>560000</v>
      </c>
      <c r="I602" s="30">
        <v>560000</v>
      </c>
      <c r="J602" s="116"/>
      <c r="K602" s="116"/>
      <c r="L602" s="116"/>
      <c r="M602" s="116"/>
      <c r="N602" s="116"/>
      <c r="O602" s="116"/>
      <c r="P602" s="116">
        <v>56000</v>
      </c>
      <c r="Q602" s="116">
        <v>392000</v>
      </c>
      <c r="R602" s="116"/>
      <c r="S602" s="116">
        <v>112000</v>
      </c>
      <c r="T602" s="116"/>
      <c r="U602" s="116"/>
      <c r="V602" s="17">
        <f t="shared" si="86"/>
        <v>0</v>
      </c>
      <c r="W602" s="17"/>
    </row>
    <row r="603" spans="1:23" ht="56.25">
      <c r="A603" s="134"/>
      <c r="B603" s="134"/>
      <c r="C603" s="134"/>
      <c r="D603" s="146"/>
      <c r="E603" s="44" t="s">
        <v>654</v>
      </c>
      <c r="F603" s="68">
        <f t="shared" si="85"/>
        <v>1534000</v>
      </c>
      <c r="G603" s="76">
        <v>1</v>
      </c>
      <c r="H603" s="68">
        <f t="shared" si="84"/>
        <v>1534000</v>
      </c>
      <c r="I603" s="30">
        <v>1534000</v>
      </c>
      <c r="J603" s="116"/>
      <c r="K603" s="116"/>
      <c r="L603" s="116"/>
      <c r="M603" s="116"/>
      <c r="N603" s="116"/>
      <c r="O603" s="116"/>
      <c r="P603" s="116">
        <v>153400</v>
      </c>
      <c r="Q603" s="116">
        <v>1073800</v>
      </c>
      <c r="R603" s="116"/>
      <c r="S603" s="116">
        <v>306800</v>
      </c>
      <c r="T603" s="116"/>
      <c r="U603" s="116"/>
      <c r="V603" s="17">
        <f t="shared" si="86"/>
        <v>0</v>
      </c>
      <c r="W603" s="17"/>
    </row>
    <row r="604" spans="1:23" ht="79.5" customHeight="1">
      <c r="A604" s="134"/>
      <c r="B604" s="134"/>
      <c r="C604" s="134"/>
      <c r="D604" s="146"/>
      <c r="E604" s="44" t="s">
        <v>637</v>
      </c>
      <c r="F604" s="68">
        <f t="shared" si="85"/>
        <v>100000</v>
      </c>
      <c r="G604" s="76">
        <v>1</v>
      </c>
      <c r="H604" s="68">
        <f t="shared" si="84"/>
        <v>100000</v>
      </c>
      <c r="I604" s="30">
        <v>100000</v>
      </c>
      <c r="J604" s="116"/>
      <c r="K604" s="116"/>
      <c r="L604" s="116"/>
      <c r="M604" s="116"/>
      <c r="N604" s="116"/>
      <c r="O604" s="116"/>
      <c r="P604" s="116">
        <v>10000</v>
      </c>
      <c r="Q604" s="116">
        <v>70000</v>
      </c>
      <c r="R604" s="116"/>
      <c r="S604" s="116">
        <v>20000</v>
      </c>
      <c r="T604" s="116"/>
      <c r="U604" s="116"/>
      <c r="V604" s="17">
        <f t="shared" si="86"/>
        <v>0</v>
      </c>
      <c r="W604" s="17"/>
    </row>
    <row r="605" spans="1:23" ht="57.75" customHeight="1">
      <c r="A605" s="134"/>
      <c r="B605" s="134"/>
      <c r="C605" s="134"/>
      <c r="D605" s="146"/>
      <c r="E605" s="44" t="s">
        <v>1013</v>
      </c>
      <c r="F605" s="68">
        <f t="shared" si="85"/>
        <v>225700</v>
      </c>
      <c r="G605" s="76">
        <v>1</v>
      </c>
      <c r="H605" s="68">
        <f t="shared" si="84"/>
        <v>225700</v>
      </c>
      <c r="I605" s="30">
        <v>225700</v>
      </c>
      <c r="J605" s="116"/>
      <c r="K605" s="116"/>
      <c r="L605" s="116"/>
      <c r="M605" s="116"/>
      <c r="N605" s="116"/>
      <c r="O605" s="116"/>
      <c r="P605" s="116">
        <v>22570</v>
      </c>
      <c r="Q605" s="116">
        <v>157990</v>
      </c>
      <c r="R605" s="116"/>
      <c r="S605" s="116">
        <v>45140</v>
      </c>
      <c r="T605" s="116"/>
      <c r="U605" s="116"/>
      <c r="V605" s="17">
        <f t="shared" si="86"/>
        <v>0</v>
      </c>
      <c r="W605" s="17"/>
    </row>
    <row r="606" spans="1:23" ht="40.5" customHeight="1">
      <c r="A606" s="134"/>
      <c r="B606" s="134"/>
      <c r="C606" s="134"/>
      <c r="D606" s="146"/>
      <c r="E606" s="44" t="s">
        <v>1</v>
      </c>
      <c r="F606" s="68">
        <f t="shared" si="85"/>
        <v>50000</v>
      </c>
      <c r="G606" s="76">
        <v>1</v>
      </c>
      <c r="H606" s="68">
        <f t="shared" si="84"/>
        <v>50000</v>
      </c>
      <c r="I606" s="30">
        <f>100000-50000</f>
        <v>50000</v>
      </c>
      <c r="J606" s="116"/>
      <c r="K606" s="116"/>
      <c r="L606" s="116"/>
      <c r="M606" s="116"/>
      <c r="N606" s="116"/>
      <c r="O606" s="116"/>
      <c r="P606" s="116">
        <f>10000-5000</f>
        <v>5000</v>
      </c>
      <c r="Q606" s="116">
        <f>70000-35000</f>
        <v>35000</v>
      </c>
      <c r="R606" s="116"/>
      <c r="S606" s="116">
        <f>20000-10000</f>
        <v>10000</v>
      </c>
      <c r="T606" s="116"/>
      <c r="U606" s="116"/>
      <c r="V606" s="17">
        <f t="shared" si="86"/>
        <v>0</v>
      </c>
      <c r="W606" s="17"/>
    </row>
    <row r="607" spans="1:23" ht="45.75" customHeight="1">
      <c r="A607" s="134"/>
      <c r="B607" s="134"/>
      <c r="C607" s="134"/>
      <c r="D607" s="146"/>
      <c r="E607" s="44" t="s">
        <v>1053</v>
      </c>
      <c r="F607" s="68">
        <f t="shared" si="85"/>
        <v>200000</v>
      </c>
      <c r="G607" s="76">
        <v>1</v>
      </c>
      <c r="H607" s="68">
        <f t="shared" si="84"/>
        <v>200000</v>
      </c>
      <c r="I607" s="30">
        <v>200000</v>
      </c>
      <c r="J607" s="116"/>
      <c r="K607" s="116"/>
      <c r="L607" s="116"/>
      <c r="M607" s="116"/>
      <c r="N607" s="116"/>
      <c r="O607" s="116"/>
      <c r="P607" s="116">
        <v>20000</v>
      </c>
      <c r="Q607" s="116">
        <v>140000</v>
      </c>
      <c r="R607" s="116"/>
      <c r="S607" s="116">
        <v>40000</v>
      </c>
      <c r="T607" s="116"/>
      <c r="U607" s="116"/>
      <c r="V607" s="17">
        <f t="shared" si="86"/>
        <v>0</v>
      </c>
      <c r="W607" s="17"/>
    </row>
    <row r="608" spans="1:23" ht="56.25">
      <c r="A608" s="134"/>
      <c r="B608" s="134"/>
      <c r="C608" s="134"/>
      <c r="D608" s="146"/>
      <c r="E608" s="44" t="s">
        <v>635</v>
      </c>
      <c r="F608" s="68">
        <f t="shared" si="85"/>
        <v>100000</v>
      </c>
      <c r="G608" s="76">
        <v>1</v>
      </c>
      <c r="H608" s="68">
        <f t="shared" si="84"/>
        <v>100000</v>
      </c>
      <c r="I608" s="30">
        <v>100000</v>
      </c>
      <c r="J608" s="116"/>
      <c r="K608" s="116"/>
      <c r="L608" s="116"/>
      <c r="M608" s="116"/>
      <c r="N608" s="116"/>
      <c r="O608" s="116"/>
      <c r="P608" s="116">
        <v>10000</v>
      </c>
      <c r="Q608" s="116">
        <v>70000</v>
      </c>
      <c r="R608" s="116"/>
      <c r="S608" s="116">
        <v>20000</v>
      </c>
      <c r="T608" s="116"/>
      <c r="U608" s="116"/>
      <c r="V608" s="17">
        <f t="shared" si="86"/>
        <v>0</v>
      </c>
      <c r="W608" s="17"/>
    </row>
    <row r="609" spans="1:23" ht="93.75">
      <c r="A609" s="134"/>
      <c r="B609" s="134"/>
      <c r="C609" s="134"/>
      <c r="D609" s="146"/>
      <c r="E609" s="44" t="s">
        <v>1109</v>
      </c>
      <c r="F609" s="68">
        <f t="shared" si="85"/>
        <v>350000</v>
      </c>
      <c r="G609" s="76">
        <v>1</v>
      </c>
      <c r="H609" s="68">
        <f t="shared" si="84"/>
        <v>350000</v>
      </c>
      <c r="I609" s="30">
        <v>350000</v>
      </c>
      <c r="J609" s="116"/>
      <c r="K609" s="116"/>
      <c r="L609" s="116"/>
      <c r="M609" s="116"/>
      <c r="N609" s="116"/>
      <c r="O609" s="116"/>
      <c r="P609" s="116">
        <v>35000</v>
      </c>
      <c r="Q609" s="116">
        <v>245000</v>
      </c>
      <c r="R609" s="116"/>
      <c r="S609" s="116">
        <v>70000</v>
      </c>
      <c r="T609" s="116"/>
      <c r="U609" s="116"/>
      <c r="V609" s="17">
        <f t="shared" si="86"/>
        <v>0</v>
      </c>
      <c r="W609" s="17"/>
    </row>
    <row r="610" spans="1:23" ht="44.25" customHeight="1">
      <c r="A610" s="134"/>
      <c r="B610" s="134"/>
      <c r="C610" s="134"/>
      <c r="D610" s="146"/>
      <c r="E610" s="44" t="s">
        <v>0</v>
      </c>
      <c r="F610" s="68">
        <f t="shared" si="85"/>
        <v>100000</v>
      </c>
      <c r="G610" s="76">
        <v>1</v>
      </c>
      <c r="H610" s="68">
        <f t="shared" si="84"/>
        <v>100000</v>
      </c>
      <c r="I610" s="30">
        <v>100000</v>
      </c>
      <c r="J610" s="116"/>
      <c r="K610" s="116"/>
      <c r="L610" s="116"/>
      <c r="M610" s="116"/>
      <c r="N610" s="116"/>
      <c r="O610" s="116"/>
      <c r="P610" s="116">
        <v>10000</v>
      </c>
      <c r="Q610" s="116">
        <v>70000</v>
      </c>
      <c r="R610" s="116"/>
      <c r="S610" s="116">
        <v>20000</v>
      </c>
      <c r="T610" s="116"/>
      <c r="U610" s="116"/>
      <c r="V610" s="17">
        <f t="shared" si="86"/>
        <v>0</v>
      </c>
      <c r="W610" s="17"/>
    </row>
    <row r="611" spans="1:23" ht="45.75" customHeight="1">
      <c r="A611" s="134"/>
      <c r="B611" s="134"/>
      <c r="C611" s="134"/>
      <c r="D611" s="146"/>
      <c r="E611" s="44" t="s">
        <v>904</v>
      </c>
      <c r="F611" s="68">
        <f t="shared" si="85"/>
        <v>100000</v>
      </c>
      <c r="G611" s="76">
        <v>1</v>
      </c>
      <c r="H611" s="68">
        <f t="shared" si="84"/>
        <v>100000</v>
      </c>
      <c r="I611" s="30">
        <v>100000</v>
      </c>
      <c r="J611" s="116"/>
      <c r="K611" s="116"/>
      <c r="L611" s="116"/>
      <c r="M611" s="116"/>
      <c r="N611" s="116"/>
      <c r="O611" s="116"/>
      <c r="P611" s="116">
        <v>10000</v>
      </c>
      <c r="Q611" s="116">
        <v>70000</v>
      </c>
      <c r="R611" s="116"/>
      <c r="S611" s="116">
        <v>20000</v>
      </c>
      <c r="T611" s="116"/>
      <c r="U611" s="116"/>
      <c r="V611" s="17">
        <f t="shared" si="86"/>
        <v>0</v>
      </c>
      <c r="W611" s="17"/>
    </row>
    <row r="612" spans="1:23" ht="45.75" customHeight="1">
      <c r="A612" s="134"/>
      <c r="B612" s="134"/>
      <c r="C612" s="134"/>
      <c r="D612" s="146"/>
      <c r="E612" s="44" t="s">
        <v>304</v>
      </c>
      <c r="F612" s="68">
        <f t="shared" si="85"/>
        <v>50000</v>
      </c>
      <c r="G612" s="76"/>
      <c r="H612" s="68">
        <f t="shared" si="84"/>
        <v>50000</v>
      </c>
      <c r="I612" s="30">
        <v>50000</v>
      </c>
      <c r="J612" s="116"/>
      <c r="K612" s="116"/>
      <c r="L612" s="116"/>
      <c r="M612" s="116">
        <v>5000</v>
      </c>
      <c r="N612" s="116"/>
      <c r="O612" s="116"/>
      <c r="P612" s="116"/>
      <c r="Q612" s="116"/>
      <c r="R612" s="116">
        <v>35000</v>
      </c>
      <c r="S612" s="116"/>
      <c r="T612" s="116">
        <v>10000</v>
      </c>
      <c r="U612" s="116"/>
      <c r="V612" s="17">
        <f>I612-J612-K612-L612-M612-N612-O612-P612-Q612-R612-S612-T612-U612</f>
        <v>0</v>
      </c>
      <c r="W612" s="17"/>
    </row>
    <row r="613" spans="1:23" ht="41.25" customHeight="1">
      <c r="A613" s="134"/>
      <c r="B613" s="134"/>
      <c r="C613" s="134"/>
      <c r="D613" s="146"/>
      <c r="E613" s="44" t="s">
        <v>1055</v>
      </c>
      <c r="F613" s="68">
        <f t="shared" si="85"/>
        <v>200000</v>
      </c>
      <c r="G613" s="76">
        <v>1</v>
      </c>
      <c r="H613" s="68">
        <f t="shared" si="84"/>
        <v>200000</v>
      </c>
      <c r="I613" s="30">
        <v>200000</v>
      </c>
      <c r="J613" s="116"/>
      <c r="K613" s="116"/>
      <c r="L613" s="116"/>
      <c r="M613" s="116"/>
      <c r="N613" s="116"/>
      <c r="O613" s="116"/>
      <c r="P613" s="116">
        <v>20000</v>
      </c>
      <c r="Q613" s="116">
        <v>140000</v>
      </c>
      <c r="R613" s="116"/>
      <c r="S613" s="116">
        <v>40000</v>
      </c>
      <c r="T613" s="116"/>
      <c r="U613" s="116"/>
      <c r="V613" s="17">
        <f t="shared" si="86"/>
        <v>0</v>
      </c>
      <c r="W613" s="17"/>
    </row>
    <row r="614" spans="1:23" ht="40.5" customHeight="1">
      <c r="A614" s="134"/>
      <c r="B614" s="134"/>
      <c r="C614" s="134"/>
      <c r="D614" s="146"/>
      <c r="E614" s="44" t="s">
        <v>1018</v>
      </c>
      <c r="F614" s="68">
        <f t="shared" si="85"/>
        <v>100000</v>
      </c>
      <c r="G614" s="76">
        <v>1</v>
      </c>
      <c r="H614" s="68">
        <f t="shared" si="84"/>
        <v>100000</v>
      </c>
      <c r="I614" s="30">
        <v>100000</v>
      </c>
      <c r="J614" s="116"/>
      <c r="K614" s="116"/>
      <c r="L614" s="116"/>
      <c r="M614" s="116"/>
      <c r="N614" s="116"/>
      <c r="O614" s="116"/>
      <c r="P614" s="116">
        <v>10000</v>
      </c>
      <c r="Q614" s="116">
        <v>70000</v>
      </c>
      <c r="R614" s="116"/>
      <c r="S614" s="116">
        <v>20000</v>
      </c>
      <c r="T614" s="116"/>
      <c r="U614" s="116"/>
      <c r="V614" s="17">
        <f t="shared" si="86"/>
        <v>0</v>
      </c>
      <c r="W614" s="17"/>
    </row>
    <row r="615" spans="1:23" ht="56.25">
      <c r="A615" s="134"/>
      <c r="B615" s="134"/>
      <c r="C615" s="134"/>
      <c r="D615" s="146"/>
      <c r="E615" s="44" t="s">
        <v>1020</v>
      </c>
      <c r="F615" s="68">
        <f t="shared" si="85"/>
        <v>100000</v>
      </c>
      <c r="G615" s="76">
        <v>1</v>
      </c>
      <c r="H615" s="68">
        <f t="shared" si="84"/>
        <v>100000</v>
      </c>
      <c r="I615" s="30">
        <v>100000</v>
      </c>
      <c r="J615" s="116"/>
      <c r="K615" s="116"/>
      <c r="L615" s="116"/>
      <c r="M615" s="116"/>
      <c r="N615" s="116"/>
      <c r="O615" s="116"/>
      <c r="P615" s="116">
        <v>10000</v>
      </c>
      <c r="Q615" s="116">
        <v>70000</v>
      </c>
      <c r="R615" s="116"/>
      <c r="S615" s="116">
        <v>20000</v>
      </c>
      <c r="T615" s="116"/>
      <c r="U615" s="116"/>
      <c r="V615" s="17">
        <f t="shared" si="86"/>
        <v>0</v>
      </c>
      <c r="W615" s="17"/>
    </row>
    <row r="616" spans="1:23" ht="56.25">
      <c r="A616" s="134"/>
      <c r="B616" s="134"/>
      <c r="C616" s="134"/>
      <c r="D616" s="146"/>
      <c r="E616" s="44" t="s">
        <v>305</v>
      </c>
      <c r="F616" s="68">
        <f t="shared" si="85"/>
        <v>66000</v>
      </c>
      <c r="G616" s="76"/>
      <c r="H616" s="68">
        <f t="shared" si="84"/>
        <v>66000</v>
      </c>
      <c r="I616" s="30">
        <v>66000</v>
      </c>
      <c r="J616" s="116"/>
      <c r="K616" s="116"/>
      <c r="L616" s="116"/>
      <c r="M616" s="116">
        <v>6600</v>
      </c>
      <c r="N616" s="116"/>
      <c r="O616" s="116"/>
      <c r="P616" s="116"/>
      <c r="Q616" s="116"/>
      <c r="R616" s="116">
        <v>46200</v>
      </c>
      <c r="S616" s="116"/>
      <c r="T616" s="116">
        <v>13200</v>
      </c>
      <c r="U616" s="116"/>
      <c r="V616" s="17">
        <f>I616-J616-K616-L616-M616-N616-O616-P616-Q616-R616-S616-T616-U616</f>
        <v>0</v>
      </c>
      <c r="W616" s="17"/>
    </row>
    <row r="617" spans="1:23" ht="84" customHeight="1">
      <c r="A617" s="134"/>
      <c r="B617" s="134"/>
      <c r="C617" s="134"/>
      <c r="D617" s="146"/>
      <c r="E617" s="44" t="s">
        <v>634</v>
      </c>
      <c r="F617" s="68">
        <f t="shared" si="85"/>
        <v>100000</v>
      </c>
      <c r="G617" s="76">
        <v>1</v>
      </c>
      <c r="H617" s="68">
        <f t="shared" si="84"/>
        <v>100000</v>
      </c>
      <c r="I617" s="30">
        <v>100000</v>
      </c>
      <c r="J617" s="116"/>
      <c r="K617" s="116"/>
      <c r="L617" s="116"/>
      <c r="M617" s="116"/>
      <c r="N617" s="116"/>
      <c r="O617" s="116"/>
      <c r="P617" s="116">
        <v>10000</v>
      </c>
      <c r="Q617" s="116">
        <v>70000</v>
      </c>
      <c r="R617" s="116"/>
      <c r="S617" s="116">
        <v>20000</v>
      </c>
      <c r="T617" s="116"/>
      <c r="U617" s="116"/>
      <c r="V617" s="17">
        <f t="shared" si="86"/>
        <v>0</v>
      </c>
      <c r="W617" s="17"/>
    </row>
    <row r="618" spans="1:23" ht="112.5">
      <c r="A618" s="134"/>
      <c r="B618" s="134"/>
      <c r="C618" s="134"/>
      <c r="D618" s="146"/>
      <c r="E618" s="44" t="s">
        <v>1116</v>
      </c>
      <c r="F618" s="68">
        <f t="shared" si="85"/>
        <v>100000</v>
      </c>
      <c r="G618" s="76">
        <v>1</v>
      </c>
      <c r="H618" s="68">
        <f t="shared" si="84"/>
        <v>100000</v>
      </c>
      <c r="I618" s="30">
        <f>210000-110000</f>
        <v>100000</v>
      </c>
      <c r="J618" s="116"/>
      <c r="K618" s="116"/>
      <c r="L618" s="116"/>
      <c r="M618" s="116"/>
      <c r="N618" s="116"/>
      <c r="O618" s="116"/>
      <c r="P618" s="116">
        <v>21000</v>
      </c>
      <c r="Q618" s="116">
        <f>147000-68000</f>
        <v>79000</v>
      </c>
      <c r="R618" s="116"/>
      <c r="S618" s="116">
        <f>42000-42000</f>
        <v>0</v>
      </c>
      <c r="T618" s="116"/>
      <c r="U618" s="116"/>
      <c r="V618" s="17">
        <f t="shared" si="86"/>
        <v>0</v>
      </c>
      <c r="W618" s="17"/>
    </row>
    <row r="619" spans="1:23" ht="96.75" customHeight="1">
      <c r="A619" s="134"/>
      <c r="B619" s="134"/>
      <c r="C619" s="134"/>
      <c r="D619" s="146"/>
      <c r="E619" s="44" t="s">
        <v>639</v>
      </c>
      <c r="F619" s="68">
        <f t="shared" si="85"/>
        <v>460000</v>
      </c>
      <c r="G619" s="76">
        <v>1</v>
      </c>
      <c r="H619" s="68">
        <f t="shared" si="84"/>
        <v>460000</v>
      </c>
      <c r="I619" s="30">
        <v>460000</v>
      </c>
      <c r="J619" s="116"/>
      <c r="K619" s="116"/>
      <c r="L619" s="116"/>
      <c r="M619" s="116"/>
      <c r="N619" s="116"/>
      <c r="O619" s="116"/>
      <c r="P619" s="116">
        <v>46000</v>
      </c>
      <c r="Q619" s="116">
        <v>322000</v>
      </c>
      <c r="R619" s="116"/>
      <c r="S619" s="116">
        <v>92000</v>
      </c>
      <c r="T619" s="116"/>
      <c r="U619" s="116"/>
      <c r="V619" s="17">
        <f t="shared" si="86"/>
        <v>0</v>
      </c>
      <c r="W619" s="17"/>
    </row>
    <row r="620" spans="1:23" ht="39" customHeight="1" hidden="1">
      <c r="A620" s="134"/>
      <c r="B620" s="134"/>
      <c r="C620" s="134"/>
      <c r="D620" s="146"/>
      <c r="E620" s="44" t="s">
        <v>703</v>
      </c>
      <c r="F620" s="68">
        <f t="shared" si="85"/>
        <v>0</v>
      </c>
      <c r="G620" s="76">
        <v>1</v>
      </c>
      <c r="H620" s="68">
        <f t="shared" si="84"/>
        <v>0</v>
      </c>
      <c r="I620" s="30">
        <f>462000-116000-346000</f>
        <v>0</v>
      </c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>
        <f>346000-346000</f>
        <v>0</v>
      </c>
      <c r="V620" s="17">
        <f>I620-J620-K620-L620-M620-N620-O620-P620-Q620-R620-S620-T620-U620</f>
        <v>0</v>
      </c>
      <c r="W620" s="17"/>
    </row>
    <row r="621" spans="1:23" ht="60" customHeight="1" hidden="1">
      <c r="A621" s="134"/>
      <c r="B621" s="134"/>
      <c r="C621" s="134"/>
      <c r="D621" s="146"/>
      <c r="E621" s="44" t="s">
        <v>583</v>
      </c>
      <c r="F621" s="68">
        <f t="shared" si="85"/>
        <v>0</v>
      </c>
      <c r="G621" s="76">
        <v>1</v>
      </c>
      <c r="H621" s="68">
        <f t="shared" si="84"/>
        <v>0</v>
      </c>
      <c r="I621" s="30">
        <f>150000-150000</f>
        <v>0</v>
      </c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>
        <f>150000-150000</f>
        <v>0</v>
      </c>
      <c r="V621" s="17">
        <f>I621-J621-K621-L621-M621-N621-O621-P621-Q621-R621-S621-T621-U621</f>
        <v>0</v>
      </c>
      <c r="W621" s="17"/>
    </row>
    <row r="622" spans="1:23" ht="60" customHeight="1">
      <c r="A622" s="134"/>
      <c r="B622" s="134"/>
      <c r="C622" s="134"/>
      <c r="D622" s="146"/>
      <c r="E622" s="44" t="s">
        <v>1063</v>
      </c>
      <c r="F622" s="68"/>
      <c r="G622" s="76"/>
      <c r="H622" s="68"/>
      <c r="I622" s="30">
        <v>232000</v>
      </c>
      <c r="J622" s="116"/>
      <c r="K622" s="116"/>
      <c r="L622" s="116"/>
      <c r="M622" s="116"/>
      <c r="N622" s="116"/>
      <c r="O622" s="116">
        <v>34800</v>
      </c>
      <c r="P622" s="116">
        <v>197200</v>
      </c>
      <c r="Q622" s="116"/>
      <c r="R622" s="116"/>
      <c r="S622" s="116"/>
      <c r="T622" s="116"/>
      <c r="U622" s="116">
        <f>232000-232000</f>
        <v>0</v>
      </c>
      <c r="V622" s="17">
        <f>I622-J622-K622-L622-M622-N622-O622-P622-Q622-R622-S622-T622-U622</f>
        <v>0</v>
      </c>
      <c r="W622" s="17"/>
    </row>
    <row r="623" spans="1:23" ht="75">
      <c r="A623" s="134"/>
      <c r="B623" s="134"/>
      <c r="C623" s="134"/>
      <c r="D623" s="146"/>
      <c r="E623" s="44" t="s">
        <v>571</v>
      </c>
      <c r="F623" s="68">
        <f t="shared" si="85"/>
        <v>220000</v>
      </c>
      <c r="G623" s="76">
        <v>1</v>
      </c>
      <c r="H623" s="68">
        <f t="shared" si="84"/>
        <v>220000</v>
      </c>
      <c r="I623" s="30">
        <v>220000</v>
      </c>
      <c r="J623" s="116"/>
      <c r="K623" s="116"/>
      <c r="L623" s="116">
        <v>22000</v>
      </c>
      <c r="M623" s="116"/>
      <c r="N623" s="116">
        <f>-22000</f>
        <v>-22000</v>
      </c>
      <c r="O623" s="116">
        <v>33000</v>
      </c>
      <c r="P623" s="116">
        <v>187000</v>
      </c>
      <c r="Q623" s="116"/>
      <c r="R623" s="116"/>
      <c r="S623" s="116">
        <f>99000-99000</f>
        <v>0</v>
      </c>
      <c r="T623" s="116">
        <f>22000-22000</f>
        <v>0</v>
      </c>
      <c r="U623" s="116">
        <f>99000-99000</f>
        <v>0</v>
      </c>
      <c r="V623" s="17">
        <f t="shared" si="86"/>
        <v>0</v>
      </c>
      <c r="W623" s="17"/>
    </row>
    <row r="624" spans="1:23" ht="60" customHeight="1">
      <c r="A624" s="134"/>
      <c r="B624" s="134"/>
      <c r="C624" s="134"/>
      <c r="D624" s="146"/>
      <c r="E624" s="44" t="s">
        <v>504</v>
      </c>
      <c r="F624" s="68">
        <f t="shared" si="85"/>
        <v>127000</v>
      </c>
      <c r="G624" s="76">
        <v>1</v>
      </c>
      <c r="H624" s="68">
        <f t="shared" si="84"/>
        <v>127000</v>
      </c>
      <c r="I624" s="30">
        <v>127000</v>
      </c>
      <c r="J624" s="116"/>
      <c r="K624" s="116"/>
      <c r="L624" s="116">
        <v>12700</v>
      </c>
      <c r="M624" s="116"/>
      <c r="N624" s="116">
        <f>-12700</f>
        <v>-12700</v>
      </c>
      <c r="O624" s="116">
        <v>19050</v>
      </c>
      <c r="P624" s="116">
        <v>107950</v>
      </c>
      <c r="Q624" s="116"/>
      <c r="R624" s="116"/>
      <c r="S624" s="116">
        <f>57150-57150</f>
        <v>0</v>
      </c>
      <c r="T624" s="116">
        <f>12700-12700</f>
        <v>0</v>
      </c>
      <c r="U624" s="116">
        <f>57150-57150</f>
        <v>0</v>
      </c>
      <c r="V624" s="17">
        <f t="shared" si="86"/>
        <v>0</v>
      </c>
      <c r="W624" s="17"/>
    </row>
    <row r="625" spans="1:23" ht="112.5">
      <c r="A625" s="134"/>
      <c r="B625" s="134"/>
      <c r="C625" s="134"/>
      <c r="D625" s="146"/>
      <c r="E625" s="44" t="s">
        <v>621</v>
      </c>
      <c r="F625" s="68">
        <f t="shared" si="85"/>
        <v>240000</v>
      </c>
      <c r="G625" s="76">
        <v>1</v>
      </c>
      <c r="H625" s="68">
        <f t="shared" si="84"/>
        <v>240000</v>
      </c>
      <c r="I625" s="30">
        <v>240000</v>
      </c>
      <c r="J625" s="116"/>
      <c r="K625" s="116"/>
      <c r="L625" s="116">
        <v>24000</v>
      </c>
      <c r="M625" s="116"/>
      <c r="N625" s="116">
        <f>-24000</f>
        <v>-24000</v>
      </c>
      <c r="O625" s="116">
        <v>36000</v>
      </c>
      <c r="P625" s="116">
        <v>204000</v>
      </c>
      <c r="Q625" s="116"/>
      <c r="R625" s="116"/>
      <c r="S625" s="116">
        <f>108000-108000</f>
        <v>0</v>
      </c>
      <c r="T625" s="116">
        <f>24000-24000</f>
        <v>0</v>
      </c>
      <c r="U625" s="116">
        <f>108000-108000</f>
        <v>0</v>
      </c>
      <c r="V625" s="17">
        <f t="shared" si="86"/>
        <v>0</v>
      </c>
      <c r="W625" s="17"/>
    </row>
    <row r="626" spans="1:23" ht="64.5" customHeight="1">
      <c r="A626" s="134"/>
      <c r="B626" s="134"/>
      <c r="C626" s="134"/>
      <c r="D626" s="146"/>
      <c r="E626" s="44" t="s">
        <v>1107</v>
      </c>
      <c r="F626" s="68">
        <f t="shared" si="85"/>
        <v>1650000</v>
      </c>
      <c r="G626" s="76">
        <v>1</v>
      </c>
      <c r="H626" s="68">
        <f t="shared" si="84"/>
        <v>1650000</v>
      </c>
      <c r="I626" s="30">
        <v>1650000</v>
      </c>
      <c r="J626" s="116"/>
      <c r="K626" s="116"/>
      <c r="L626" s="116">
        <v>1320000</v>
      </c>
      <c r="M626" s="116">
        <v>-1201000</v>
      </c>
      <c r="N626" s="116"/>
      <c r="O626" s="116">
        <f>330000+1201000-600000</f>
        <v>931000</v>
      </c>
      <c r="P626" s="116"/>
      <c r="Q626" s="116">
        <f>900000-900000</f>
        <v>0</v>
      </c>
      <c r="R626" s="116"/>
      <c r="S626" s="116"/>
      <c r="T626" s="116">
        <f>301000-301000</f>
        <v>0</v>
      </c>
      <c r="U626" s="116">
        <v>600000</v>
      </c>
      <c r="V626" s="17">
        <f t="shared" si="86"/>
        <v>0</v>
      </c>
      <c r="W626" s="17">
        <f>68813.21+980000</f>
        <v>1048813.21</v>
      </c>
    </row>
    <row r="627" spans="1:23" ht="59.25" customHeight="1">
      <c r="A627" s="134"/>
      <c r="B627" s="134"/>
      <c r="C627" s="134"/>
      <c r="D627" s="146"/>
      <c r="E627" s="44" t="s">
        <v>505</v>
      </c>
      <c r="F627" s="68">
        <f t="shared" si="85"/>
        <v>480000</v>
      </c>
      <c r="G627" s="76">
        <v>1</v>
      </c>
      <c r="H627" s="68">
        <f t="shared" si="84"/>
        <v>480000</v>
      </c>
      <c r="I627" s="30">
        <v>480000</v>
      </c>
      <c r="J627" s="116"/>
      <c r="K627" s="116"/>
      <c r="L627" s="116">
        <v>48000</v>
      </c>
      <c r="M627" s="116"/>
      <c r="N627" s="116"/>
      <c r="O627" s="116">
        <v>64800</v>
      </c>
      <c r="P627" s="116">
        <f>367200</f>
        <v>367200</v>
      </c>
      <c r="Q627" s="116"/>
      <c r="R627" s="116"/>
      <c r="S627" s="116">
        <f>336000-336000</f>
        <v>0</v>
      </c>
      <c r="T627" s="116"/>
      <c r="U627" s="116">
        <f>96000-96000</f>
        <v>0</v>
      </c>
      <c r="V627" s="17">
        <f t="shared" si="86"/>
        <v>0</v>
      </c>
      <c r="W627" s="17"/>
    </row>
    <row r="628" spans="1:23" ht="75">
      <c r="A628" s="134"/>
      <c r="B628" s="134"/>
      <c r="C628" s="134"/>
      <c r="D628" s="146"/>
      <c r="E628" s="44" t="s">
        <v>1112</v>
      </c>
      <c r="F628" s="68">
        <f t="shared" si="85"/>
        <v>394000</v>
      </c>
      <c r="G628" s="76">
        <v>1</v>
      </c>
      <c r="H628" s="68">
        <f t="shared" si="84"/>
        <v>394000</v>
      </c>
      <c r="I628" s="30">
        <v>394000</v>
      </c>
      <c r="J628" s="116"/>
      <c r="K628" s="116"/>
      <c r="L628" s="116">
        <v>39400</v>
      </c>
      <c r="M628" s="116"/>
      <c r="N628" s="116"/>
      <c r="O628" s="116">
        <v>53190</v>
      </c>
      <c r="P628" s="116">
        <v>301410</v>
      </c>
      <c r="Q628" s="116"/>
      <c r="R628" s="116"/>
      <c r="S628" s="116">
        <f>275800-275800</f>
        <v>0</v>
      </c>
      <c r="T628" s="116"/>
      <c r="U628" s="116">
        <f>78800-78800</f>
        <v>0</v>
      </c>
      <c r="V628" s="17">
        <f t="shared" si="86"/>
        <v>0</v>
      </c>
      <c r="W628" s="17">
        <v>35460.63</v>
      </c>
    </row>
    <row r="629" spans="1:23" ht="54" hidden="1">
      <c r="A629" s="134"/>
      <c r="B629" s="134"/>
      <c r="C629" s="134"/>
      <c r="D629" s="146"/>
      <c r="E629" s="44" t="s">
        <v>506</v>
      </c>
      <c r="F629" s="68">
        <f t="shared" si="85"/>
        <v>0</v>
      </c>
      <c r="G629" s="76">
        <v>1</v>
      </c>
      <c r="H629" s="68">
        <f t="shared" si="84"/>
        <v>0</v>
      </c>
      <c r="I629" s="30">
        <f>357000-357000</f>
        <v>0</v>
      </c>
      <c r="J629" s="116"/>
      <c r="K629" s="116"/>
      <c r="L629" s="116">
        <v>35700</v>
      </c>
      <c r="M629" s="116">
        <v>-35700</v>
      </c>
      <c r="N629" s="116"/>
      <c r="O629" s="116"/>
      <c r="P629" s="116"/>
      <c r="Q629" s="116"/>
      <c r="R629" s="116"/>
      <c r="S629" s="116">
        <f>249900-249900</f>
        <v>0</v>
      </c>
      <c r="T629" s="116"/>
      <c r="U629" s="116">
        <f>71400-71400</f>
        <v>0</v>
      </c>
      <c r="V629" s="17">
        <f t="shared" si="86"/>
        <v>0</v>
      </c>
      <c r="W629" s="17"/>
    </row>
    <row r="630" spans="1:23" ht="54" hidden="1">
      <c r="A630" s="134"/>
      <c r="B630" s="134"/>
      <c r="C630" s="134"/>
      <c r="D630" s="146"/>
      <c r="E630" s="44" t="s">
        <v>1061</v>
      </c>
      <c r="F630" s="68"/>
      <c r="G630" s="76"/>
      <c r="H630" s="68"/>
      <c r="I630" s="30">
        <f>357000-357000</f>
        <v>0</v>
      </c>
      <c r="J630" s="116"/>
      <c r="K630" s="116"/>
      <c r="L630" s="116"/>
      <c r="M630" s="116">
        <f>35700-35700</f>
        <v>0</v>
      </c>
      <c r="N630" s="116"/>
      <c r="O630" s="116"/>
      <c r="P630" s="116"/>
      <c r="Q630" s="116"/>
      <c r="R630" s="116"/>
      <c r="S630" s="116">
        <f>249900-249900</f>
        <v>0</v>
      </c>
      <c r="T630" s="116"/>
      <c r="U630" s="116">
        <f>71400-71400</f>
        <v>0</v>
      </c>
      <c r="V630" s="17">
        <f>I630-J630-K630-L630-M630-N630-O630-P630-Q630-R630-S630-T630-U630</f>
        <v>0</v>
      </c>
      <c r="W630" s="17"/>
    </row>
    <row r="631" spans="1:23" ht="75">
      <c r="A631" s="134"/>
      <c r="B631" s="134"/>
      <c r="C631" s="134"/>
      <c r="D631" s="146"/>
      <c r="E631" s="44" t="s">
        <v>405</v>
      </c>
      <c r="F631" s="68">
        <f t="shared" si="85"/>
        <v>116000</v>
      </c>
      <c r="G631" s="76">
        <v>1</v>
      </c>
      <c r="H631" s="68">
        <f t="shared" si="84"/>
        <v>116000</v>
      </c>
      <c r="I631" s="30">
        <v>116000</v>
      </c>
      <c r="J631" s="116"/>
      <c r="K631" s="116"/>
      <c r="L631" s="116">
        <v>11600</v>
      </c>
      <c r="M631" s="116"/>
      <c r="N631" s="116">
        <f>-11600</f>
        <v>-11600</v>
      </c>
      <c r="O631" s="116"/>
      <c r="P631" s="116"/>
      <c r="Q631" s="116"/>
      <c r="R631" s="116"/>
      <c r="S631" s="116">
        <v>81200</v>
      </c>
      <c r="T631" s="116">
        <f>11600</f>
        <v>11600</v>
      </c>
      <c r="U631" s="116">
        <v>23200</v>
      </c>
      <c r="V631" s="17">
        <f t="shared" si="86"/>
        <v>0</v>
      </c>
      <c r="W631" s="17"/>
    </row>
    <row r="632" spans="1:23" ht="63" customHeight="1">
      <c r="A632" s="134"/>
      <c r="B632" s="134"/>
      <c r="C632" s="134"/>
      <c r="D632" s="146"/>
      <c r="E632" s="44" t="s">
        <v>569</v>
      </c>
      <c r="F632" s="68">
        <f t="shared" si="85"/>
        <v>116000</v>
      </c>
      <c r="G632" s="76">
        <v>1</v>
      </c>
      <c r="H632" s="68">
        <f t="shared" si="84"/>
        <v>116000</v>
      </c>
      <c r="I632" s="30">
        <v>116000</v>
      </c>
      <c r="J632" s="116"/>
      <c r="K632" s="116"/>
      <c r="L632" s="116">
        <v>11600</v>
      </c>
      <c r="M632" s="116"/>
      <c r="N632" s="116">
        <f>-11600</f>
        <v>-11600</v>
      </c>
      <c r="O632" s="116">
        <v>17400</v>
      </c>
      <c r="P632" s="116">
        <v>98600</v>
      </c>
      <c r="Q632" s="116"/>
      <c r="R632" s="116"/>
      <c r="S632" s="116">
        <f>52200-52200</f>
        <v>0</v>
      </c>
      <c r="T632" s="116">
        <f>11600-11600</f>
        <v>0</v>
      </c>
      <c r="U632" s="116">
        <f>52200-52200</f>
        <v>0</v>
      </c>
      <c r="V632" s="17">
        <f t="shared" si="86"/>
        <v>0</v>
      </c>
      <c r="W632" s="17"/>
    </row>
    <row r="633" spans="1:23" ht="56.25">
      <c r="A633" s="134"/>
      <c r="B633" s="134"/>
      <c r="C633" s="134"/>
      <c r="D633" s="146"/>
      <c r="E633" s="44" t="s">
        <v>705</v>
      </c>
      <c r="F633" s="68">
        <f t="shared" si="85"/>
        <v>50000</v>
      </c>
      <c r="G633" s="76">
        <v>1</v>
      </c>
      <c r="H633" s="68">
        <f t="shared" si="84"/>
        <v>50000</v>
      </c>
      <c r="I633" s="30">
        <v>50000</v>
      </c>
      <c r="J633" s="116"/>
      <c r="K633" s="116"/>
      <c r="L633" s="116">
        <v>5000</v>
      </c>
      <c r="M633" s="116"/>
      <c r="N633" s="116">
        <f>-5000</f>
        <v>-5000</v>
      </c>
      <c r="O633" s="116"/>
      <c r="P633" s="116"/>
      <c r="Q633" s="116"/>
      <c r="R633" s="116"/>
      <c r="S633" s="116">
        <v>35000</v>
      </c>
      <c r="T633" s="116">
        <f>5000</f>
        <v>5000</v>
      </c>
      <c r="U633" s="116">
        <v>10000</v>
      </c>
      <c r="V633" s="17">
        <f t="shared" si="86"/>
        <v>0</v>
      </c>
      <c r="W633" s="17"/>
    </row>
    <row r="634" spans="1:23" ht="64.5" customHeight="1">
      <c r="A634" s="134"/>
      <c r="B634" s="134"/>
      <c r="C634" s="134"/>
      <c r="D634" s="146"/>
      <c r="E634" s="44" t="s">
        <v>510</v>
      </c>
      <c r="F634" s="68">
        <f t="shared" si="85"/>
        <v>116000</v>
      </c>
      <c r="G634" s="76">
        <v>1</v>
      </c>
      <c r="H634" s="68">
        <f t="shared" si="84"/>
        <v>116000</v>
      </c>
      <c r="I634" s="30">
        <v>116000</v>
      </c>
      <c r="J634" s="116"/>
      <c r="K634" s="116"/>
      <c r="L634" s="116">
        <v>11600</v>
      </c>
      <c r="M634" s="116"/>
      <c r="N634" s="116">
        <f>-11600</f>
        <v>-11600</v>
      </c>
      <c r="O634" s="116"/>
      <c r="P634" s="116"/>
      <c r="Q634" s="116"/>
      <c r="R634" s="116"/>
      <c r="S634" s="116">
        <v>81200</v>
      </c>
      <c r="T634" s="116">
        <f>11600</f>
        <v>11600</v>
      </c>
      <c r="U634" s="116">
        <v>23200</v>
      </c>
      <c r="V634" s="17">
        <f t="shared" si="86"/>
        <v>0</v>
      </c>
      <c r="W634" s="17"/>
    </row>
    <row r="635" spans="1:23" ht="62.25" customHeight="1">
      <c r="A635" s="134"/>
      <c r="B635" s="134"/>
      <c r="C635" s="134"/>
      <c r="D635" s="146"/>
      <c r="E635" s="44" t="s">
        <v>468</v>
      </c>
      <c r="F635" s="68">
        <f t="shared" si="85"/>
        <v>263000</v>
      </c>
      <c r="G635" s="76">
        <v>1</v>
      </c>
      <c r="H635" s="68">
        <f t="shared" si="84"/>
        <v>263000</v>
      </c>
      <c r="I635" s="30">
        <v>263000</v>
      </c>
      <c r="J635" s="116"/>
      <c r="K635" s="116"/>
      <c r="L635" s="116">
        <v>26300</v>
      </c>
      <c r="M635" s="116"/>
      <c r="N635" s="116">
        <f>-26300</f>
        <v>-26300</v>
      </c>
      <c r="O635" s="116"/>
      <c r="P635" s="116"/>
      <c r="Q635" s="116"/>
      <c r="R635" s="116"/>
      <c r="S635" s="116">
        <v>184100</v>
      </c>
      <c r="T635" s="116">
        <f>26300</f>
        <v>26300</v>
      </c>
      <c r="U635" s="116">
        <v>52600</v>
      </c>
      <c r="V635" s="17">
        <f t="shared" si="86"/>
        <v>0</v>
      </c>
      <c r="W635" s="17"/>
    </row>
    <row r="636" spans="1:23" ht="56.25">
      <c r="A636" s="134"/>
      <c r="B636" s="134"/>
      <c r="C636" s="134"/>
      <c r="D636" s="146"/>
      <c r="E636" s="44" t="s">
        <v>1058</v>
      </c>
      <c r="F636" s="68">
        <f t="shared" si="85"/>
        <v>118000</v>
      </c>
      <c r="G636" s="76">
        <v>1</v>
      </c>
      <c r="H636" s="68">
        <f t="shared" si="84"/>
        <v>118000</v>
      </c>
      <c r="I636" s="30">
        <v>118000</v>
      </c>
      <c r="J636" s="116"/>
      <c r="K636" s="116"/>
      <c r="L636" s="116">
        <v>11800</v>
      </c>
      <c r="M636" s="116"/>
      <c r="N636" s="116">
        <v>-11800</v>
      </c>
      <c r="O636" s="116"/>
      <c r="P636" s="116"/>
      <c r="Q636" s="116"/>
      <c r="R636" s="116"/>
      <c r="S636" s="116">
        <v>82600</v>
      </c>
      <c r="T636" s="116">
        <v>11800</v>
      </c>
      <c r="U636" s="116">
        <v>23600</v>
      </c>
      <c r="V636" s="17">
        <f t="shared" si="86"/>
        <v>0</v>
      </c>
      <c r="W636" s="17"/>
    </row>
    <row r="637" spans="1:23" ht="63" customHeight="1">
      <c r="A637" s="134"/>
      <c r="B637" s="134"/>
      <c r="C637" s="134"/>
      <c r="D637" s="146"/>
      <c r="E637" s="44" t="s">
        <v>568</v>
      </c>
      <c r="F637" s="68">
        <f t="shared" si="85"/>
        <v>232000</v>
      </c>
      <c r="G637" s="76">
        <v>1</v>
      </c>
      <c r="H637" s="68">
        <f t="shared" si="84"/>
        <v>232000</v>
      </c>
      <c r="I637" s="30">
        <v>232000</v>
      </c>
      <c r="J637" s="116"/>
      <c r="K637" s="116"/>
      <c r="L637" s="116">
        <v>23200</v>
      </c>
      <c r="M637" s="116"/>
      <c r="N637" s="116">
        <v>-23200</v>
      </c>
      <c r="O637" s="116">
        <f>34800</f>
        <v>34800</v>
      </c>
      <c r="P637" s="116">
        <f>197200</f>
        <v>197200</v>
      </c>
      <c r="Q637" s="116"/>
      <c r="R637" s="116"/>
      <c r="S637" s="116">
        <f>162400-162400</f>
        <v>0</v>
      </c>
      <c r="T637" s="116">
        <f>23200-23200</f>
        <v>0</v>
      </c>
      <c r="U637" s="116">
        <f>46400-46400</f>
        <v>0</v>
      </c>
      <c r="V637" s="17">
        <f t="shared" si="86"/>
        <v>0</v>
      </c>
      <c r="W637" s="17"/>
    </row>
    <row r="638" spans="1:23" ht="54" hidden="1">
      <c r="A638" s="134"/>
      <c r="B638" s="134"/>
      <c r="C638" s="134"/>
      <c r="D638" s="146"/>
      <c r="E638" s="44" t="s">
        <v>620</v>
      </c>
      <c r="F638" s="68">
        <f t="shared" si="85"/>
        <v>0</v>
      </c>
      <c r="G638" s="76">
        <v>1</v>
      </c>
      <c r="H638" s="68">
        <f t="shared" si="84"/>
        <v>0</v>
      </c>
      <c r="I638" s="30">
        <f>82000-82000</f>
        <v>0</v>
      </c>
      <c r="J638" s="116"/>
      <c r="K638" s="116"/>
      <c r="L638" s="116">
        <v>0</v>
      </c>
      <c r="M638" s="116"/>
      <c r="N638" s="116"/>
      <c r="O638" s="116"/>
      <c r="P638" s="116"/>
      <c r="Q638" s="116"/>
      <c r="R638" s="116"/>
      <c r="S638" s="116"/>
      <c r="T638" s="116"/>
      <c r="U638" s="116">
        <f>82000-82000</f>
        <v>0</v>
      </c>
      <c r="V638" s="17">
        <f t="shared" si="86"/>
        <v>0</v>
      </c>
      <c r="W638" s="17"/>
    </row>
    <row r="639" spans="1:23" ht="56.25">
      <c r="A639" s="134"/>
      <c r="B639" s="134"/>
      <c r="C639" s="134"/>
      <c r="D639" s="146"/>
      <c r="E639" s="44" t="s">
        <v>619</v>
      </c>
      <c r="F639" s="68">
        <f t="shared" si="85"/>
        <v>150000</v>
      </c>
      <c r="G639" s="76">
        <v>1</v>
      </c>
      <c r="H639" s="68">
        <f t="shared" si="84"/>
        <v>150000</v>
      </c>
      <c r="I639" s="30">
        <v>150000</v>
      </c>
      <c r="J639" s="116"/>
      <c r="K639" s="116"/>
      <c r="L639" s="116">
        <v>15000</v>
      </c>
      <c r="M639" s="116"/>
      <c r="N639" s="116">
        <v>-15000</v>
      </c>
      <c r="O639" s="116">
        <v>22500</v>
      </c>
      <c r="P639" s="116">
        <f>127500</f>
        <v>127500</v>
      </c>
      <c r="Q639" s="116"/>
      <c r="R639" s="116"/>
      <c r="S639" s="116">
        <f>105000-105000</f>
        <v>0</v>
      </c>
      <c r="T639" s="116">
        <f>15000-15000</f>
        <v>0</v>
      </c>
      <c r="U639" s="116">
        <f>30000-30000</f>
        <v>0</v>
      </c>
      <c r="V639" s="17">
        <f t="shared" si="86"/>
        <v>0</v>
      </c>
      <c r="W639" s="17"/>
    </row>
    <row r="640" spans="1:23" ht="63" customHeight="1">
      <c r="A640" s="134"/>
      <c r="B640" s="134"/>
      <c r="C640" s="134"/>
      <c r="D640" s="146"/>
      <c r="E640" s="44" t="s">
        <v>470</v>
      </c>
      <c r="F640" s="68">
        <f t="shared" si="85"/>
        <v>350000</v>
      </c>
      <c r="G640" s="76">
        <v>1</v>
      </c>
      <c r="H640" s="68">
        <f t="shared" si="84"/>
        <v>350000</v>
      </c>
      <c r="I640" s="30">
        <v>350000</v>
      </c>
      <c r="J640" s="116"/>
      <c r="K640" s="116"/>
      <c r="L640" s="116">
        <v>35000</v>
      </c>
      <c r="M640" s="116"/>
      <c r="N640" s="116">
        <v>-35000</v>
      </c>
      <c r="O640" s="116"/>
      <c r="P640" s="116"/>
      <c r="Q640" s="116"/>
      <c r="R640" s="116"/>
      <c r="S640" s="116">
        <v>157500</v>
      </c>
      <c r="T640" s="116">
        <v>35000</v>
      </c>
      <c r="U640" s="116">
        <v>157500</v>
      </c>
      <c r="V640" s="17">
        <f t="shared" si="86"/>
        <v>0</v>
      </c>
      <c r="W640" s="17"/>
    </row>
    <row r="641" spans="1:23" ht="75">
      <c r="A641" s="134"/>
      <c r="B641" s="134"/>
      <c r="C641" s="134"/>
      <c r="D641" s="146"/>
      <c r="E641" s="44" t="s">
        <v>581</v>
      </c>
      <c r="F641" s="68">
        <f t="shared" si="85"/>
        <v>130000</v>
      </c>
      <c r="G641" s="76">
        <v>1</v>
      </c>
      <c r="H641" s="68">
        <f t="shared" si="84"/>
        <v>130000</v>
      </c>
      <c r="I641" s="30">
        <v>130000</v>
      </c>
      <c r="J641" s="116"/>
      <c r="K641" s="116"/>
      <c r="L641" s="116">
        <v>13000</v>
      </c>
      <c r="M641" s="116"/>
      <c r="N641" s="116">
        <v>-13000</v>
      </c>
      <c r="O641" s="116">
        <f>19500</f>
        <v>19500</v>
      </c>
      <c r="P641" s="116">
        <f>110500</f>
        <v>110500</v>
      </c>
      <c r="Q641" s="116"/>
      <c r="R641" s="116"/>
      <c r="S641" s="116">
        <f>91000-91000</f>
        <v>0</v>
      </c>
      <c r="T641" s="116">
        <f>13000-13000</f>
        <v>0</v>
      </c>
      <c r="U641" s="116">
        <f>26000-26000</f>
        <v>0</v>
      </c>
      <c r="V641" s="17">
        <f t="shared" si="86"/>
        <v>0</v>
      </c>
      <c r="W641" s="17"/>
    </row>
    <row r="642" spans="1:23" ht="56.25">
      <c r="A642" s="134"/>
      <c r="B642" s="134"/>
      <c r="C642" s="134"/>
      <c r="D642" s="146"/>
      <c r="E642" s="44" t="s">
        <v>467</v>
      </c>
      <c r="F642" s="68">
        <f t="shared" si="85"/>
        <v>133000</v>
      </c>
      <c r="G642" s="76">
        <v>1</v>
      </c>
      <c r="H642" s="68">
        <f t="shared" si="84"/>
        <v>133000</v>
      </c>
      <c r="I642" s="30">
        <v>133000</v>
      </c>
      <c r="J642" s="116"/>
      <c r="K642" s="116"/>
      <c r="L642" s="116">
        <v>13300</v>
      </c>
      <c r="M642" s="116"/>
      <c r="N642" s="116">
        <v>-13300</v>
      </c>
      <c r="O642" s="116">
        <f>19950</f>
        <v>19950</v>
      </c>
      <c r="P642" s="116">
        <f>113050</f>
        <v>113050</v>
      </c>
      <c r="Q642" s="116"/>
      <c r="R642" s="116"/>
      <c r="S642" s="116">
        <f>93100-93100</f>
        <v>0</v>
      </c>
      <c r="T642" s="116">
        <f>13300-13300</f>
        <v>0</v>
      </c>
      <c r="U642" s="116">
        <f>26600-26600</f>
        <v>0</v>
      </c>
      <c r="V642" s="17">
        <f t="shared" si="86"/>
        <v>0</v>
      </c>
      <c r="W642" s="17"/>
    </row>
    <row r="643" spans="1:23" ht="75">
      <c r="A643" s="134"/>
      <c r="B643" s="134"/>
      <c r="C643" s="134"/>
      <c r="D643" s="146"/>
      <c r="E643" s="44" t="s">
        <v>622</v>
      </c>
      <c r="F643" s="68">
        <f t="shared" si="85"/>
        <v>133000</v>
      </c>
      <c r="G643" s="76">
        <v>1</v>
      </c>
      <c r="H643" s="68">
        <f t="shared" si="84"/>
        <v>133000</v>
      </c>
      <c r="I643" s="30">
        <v>133000</v>
      </c>
      <c r="J643" s="116"/>
      <c r="K643" s="116"/>
      <c r="L643" s="116">
        <v>13300</v>
      </c>
      <c r="M643" s="116"/>
      <c r="N643" s="116">
        <v>-13300</v>
      </c>
      <c r="O643" s="116"/>
      <c r="P643" s="116"/>
      <c r="Q643" s="116"/>
      <c r="R643" s="116"/>
      <c r="S643" s="116">
        <v>93100</v>
      </c>
      <c r="T643" s="116">
        <v>13300</v>
      </c>
      <c r="U643" s="116">
        <v>26600</v>
      </c>
      <c r="V643" s="17">
        <f t="shared" si="86"/>
        <v>0</v>
      </c>
      <c r="W643" s="17"/>
    </row>
    <row r="644" spans="1:23" ht="79.5" customHeight="1">
      <c r="A644" s="134"/>
      <c r="B644" s="134"/>
      <c r="C644" s="134"/>
      <c r="D644" s="146"/>
      <c r="E644" s="44" t="s">
        <v>469</v>
      </c>
      <c r="F644" s="68">
        <f t="shared" si="85"/>
        <v>116000</v>
      </c>
      <c r="G644" s="76">
        <v>1</v>
      </c>
      <c r="H644" s="68">
        <f t="shared" si="84"/>
        <v>116000</v>
      </c>
      <c r="I644" s="30">
        <v>116000</v>
      </c>
      <c r="J644" s="116"/>
      <c r="K644" s="116"/>
      <c r="L644" s="116">
        <v>11600</v>
      </c>
      <c r="M644" s="116"/>
      <c r="N644" s="116">
        <v>-11600</v>
      </c>
      <c r="O644" s="116"/>
      <c r="P644" s="116"/>
      <c r="Q644" s="116"/>
      <c r="R644" s="116"/>
      <c r="S644" s="116">
        <v>81200</v>
      </c>
      <c r="T644" s="116">
        <v>11600</v>
      </c>
      <c r="U644" s="116">
        <v>23200</v>
      </c>
      <c r="V644" s="17">
        <f t="shared" si="86"/>
        <v>0</v>
      </c>
      <c r="W644" s="17"/>
    </row>
    <row r="645" spans="1:23" ht="64.5" customHeight="1">
      <c r="A645" s="134"/>
      <c r="B645" s="134"/>
      <c r="C645" s="134"/>
      <c r="D645" s="146"/>
      <c r="E645" s="44" t="s">
        <v>582</v>
      </c>
      <c r="F645" s="68">
        <f t="shared" si="85"/>
        <v>180000</v>
      </c>
      <c r="G645" s="76">
        <v>1</v>
      </c>
      <c r="H645" s="68">
        <f t="shared" si="84"/>
        <v>180000</v>
      </c>
      <c r="I645" s="30">
        <v>180000</v>
      </c>
      <c r="J645" s="116"/>
      <c r="K645" s="116"/>
      <c r="L645" s="116">
        <v>18000</v>
      </c>
      <c r="M645" s="116"/>
      <c r="N645" s="116">
        <v>-18000</v>
      </c>
      <c r="O645" s="116"/>
      <c r="P645" s="116"/>
      <c r="Q645" s="116"/>
      <c r="R645" s="116"/>
      <c r="S645" s="116">
        <v>126000</v>
      </c>
      <c r="T645" s="116">
        <v>18000</v>
      </c>
      <c r="U645" s="116">
        <v>36000</v>
      </c>
      <c r="V645" s="17">
        <f t="shared" si="86"/>
        <v>0</v>
      </c>
      <c r="W645" s="17"/>
    </row>
    <row r="646" spans="1:23" ht="48" customHeight="1">
      <c r="A646" s="134"/>
      <c r="B646" s="134"/>
      <c r="C646" s="134"/>
      <c r="D646" s="146"/>
      <c r="E646" s="44" t="s">
        <v>584</v>
      </c>
      <c r="F646" s="68">
        <f t="shared" si="85"/>
        <v>106000</v>
      </c>
      <c r="G646" s="76">
        <v>1</v>
      </c>
      <c r="H646" s="68">
        <f t="shared" si="84"/>
        <v>106000</v>
      </c>
      <c r="I646" s="30">
        <v>106000</v>
      </c>
      <c r="J646" s="116"/>
      <c r="K646" s="116"/>
      <c r="L646" s="116">
        <v>10600</v>
      </c>
      <c r="M646" s="116"/>
      <c r="N646" s="116">
        <v>-10600</v>
      </c>
      <c r="O646" s="116"/>
      <c r="P646" s="116"/>
      <c r="Q646" s="116"/>
      <c r="R646" s="116"/>
      <c r="S646" s="116">
        <v>74200</v>
      </c>
      <c r="T646" s="116">
        <v>10600</v>
      </c>
      <c r="U646" s="116">
        <v>21200</v>
      </c>
      <c r="V646" s="17">
        <f t="shared" si="86"/>
        <v>0</v>
      </c>
      <c r="W646" s="17"/>
    </row>
    <row r="647" spans="1:23" ht="36" hidden="1">
      <c r="A647" s="134"/>
      <c r="B647" s="134"/>
      <c r="C647" s="134"/>
      <c r="D647" s="146"/>
      <c r="E647" s="44" t="s">
        <v>704</v>
      </c>
      <c r="F647" s="68">
        <f t="shared" si="85"/>
        <v>0</v>
      </c>
      <c r="G647" s="76">
        <v>1</v>
      </c>
      <c r="H647" s="68">
        <f t="shared" si="84"/>
        <v>0</v>
      </c>
      <c r="I647" s="30">
        <f>116000-116000</f>
        <v>0</v>
      </c>
      <c r="J647" s="116"/>
      <c r="K647" s="116"/>
      <c r="L647" s="116">
        <v>11600</v>
      </c>
      <c r="M647" s="116">
        <v>-11600</v>
      </c>
      <c r="N647" s="116"/>
      <c r="O647" s="116"/>
      <c r="P647" s="116"/>
      <c r="Q647" s="116"/>
      <c r="R647" s="116"/>
      <c r="S647" s="116">
        <f>81200-81200</f>
        <v>0</v>
      </c>
      <c r="T647" s="116"/>
      <c r="U647" s="116">
        <f>23200-23200</f>
        <v>0</v>
      </c>
      <c r="V647" s="17">
        <f t="shared" si="86"/>
        <v>0</v>
      </c>
      <c r="W647" s="17"/>
    </row>
    <row r="648" spans="1:23" ht="36" hidden="1">
      <c r="A648" s="134"/>
      <c r="B648" s="134"/>
      <c r="C648" s="134"/>
      <c r="D648" s="146"/>
      <c r="E648" s="44" t="s">
        <v>471</v>
      </c>
      <c r="F648" s="68">
        <f t="shared" si="85"/>
        <v>0</v>
      </c>
      <c r="G648" s="76">
        <v>1</v>
      </c>
      <c r="H648" s="68">
        <f t="shared" si="84"/>
        <v>0</v>
      </c>
      <c r="I648" s="30">
        <f>116000-40000-76000</f>
        <v>0</v>
      </c>
      <c r="J648" s="116"/>
      <c r="K648" s="116"/>
      <c r="L648" s="116">
        <v>11600</v>
      </c>
      <c r="M648" s="116">
        <f>-4000-7600</f>
        <v>-11600</v>
      </c>
      <c r="N648" s="116"/>
      <c r="O648" s="116"/>
      <c r="P648" s="116"/>
      <c r="Q648" s="116"/>
      <c r="R648" s="116"/>
      <c r="S648" s="116">
        <f>81200-28000-53200</f>
        <v>0</v>
      </c>
      <c r="T648" s="116"/>
      <c r="U648" s="116">
        <f>23200-8000-15200</f>
        <v>0</v>
      </c>
      <c r="V648" s="17">
        <f t="shared" si="86"/>
        <v>0</v>
      </c>
      <c r="W648" s="17"/>
    </row>
    <row r="649" spans="1:23" ht="44.25" customHeight="1">
      <c r="A649" s="134"/>
      <c r="B649" s="134"/>
      <c r="C649" s="134"/>
      <c r="D649" s="146"/>
      <c r="E649" s="44" t="s">
        <v>508</v>
      </c>
      <c r="F649" s="68">
        <f t="shared" si="85"/>
        <v>232000</v>
      </c>
      <c r="G649" s="76">
        <v>1</v>
      </c>
      <c r="H649" s="68">
        <f aca="true" t="shared" si="87" ref="H649:H701">I649</f>
        <v>232000</v>
      </c>
      <c r="I649" s="30">
        <v>232000</v>
      </c>
      <c r="J649" s="116"/>
      <c r="K649" s="116"/>
      <c r="L649" s="116">
        <v>23200</v>
      </c>
      <c r="M649" s="116"/>
      <c r="N649" s="116">
        <v>-23200</v>
      </c>
      <c r="O649" s="116">
        <f>34800-34800</f>
        <v>0</v>
      </c>
      <c r="P649" s="116">
        <f>197200</f>
        <v>197200</v>
      </c>
      <c r="Q649" s="116"/>
      <c r="R649" s="116"/>
      <c r="S649" s="116">
        <f>162400-162400</f>
        <v>0</v>
      </c>
      <c r="T649" s="116">
        <f>23200-23200</f>
        <v>0</v>
      </c>
      <c r="U649" s="116">
        <f>46400-46400+34800</f>
        <v>34800</v>
      </c>
      <c r="V649" s="17">
        <f t="shared" si="86"/>
        <v>0</v>
      </c>
      <c r="W649" s="17"/>
    </row>
    <row r="650" spans="1:23" ht="63" customHeight="1">
      <c r="A650" s="134"/>
      <c r="B650" s="134"/>
      <c r="C650" s="134"/>
      <c r="D650" s="146"/>
      <c r="E650" s="44" t="s">
        <v>570</v>
      </c>
      <c r="F650" s="68">
        <f aca="true" t="shared" si="88" ref="F650:F701">I650</f>
        <v>603000</v>
      </c>
      <c r="G650" s="76">
        <v>1</v>
      </c>
      <c r="H650" s="68">
        <f t="shared" si="87"/>
        <v>603000</v>
      </c>
      <c r="I650" s="30">
        <v>603000</v>
      </c>
      <c r="J650" s="116"/>
      <c r="K650" s="116"/>
      <c r="L650" s="116">
        <v>60300</v>
      </c>
      <c r="M650" s="116"/>
      <c r="N650" s="116"/>
      <c r="O650" s="116">
        <f>81405-141705</f>
        <v>-60300</v>
      </c>
      <c r="P650" s="116">
        <f>461295</f>
        <v>461295</v>
      </c>
      <c r="Q650" s="116">
        <f>271350-271350</f>
        <v>0</v>
      </c>
      <c r="R650" s="116"/>
      <c r="S650" s="116"/>
      <c r="T650" s="116">
        <f>271350-271350</f>
        <v>0</v>
      </c>
      <c r="U650" s="116">
        <v>141705</v>
      </c>
      <c r="V650" s="17">
        <f t="shared" si="86"/>
        <v>0</v>
      </c>
      <c r="W650" s="17"/>
    </row>
    <row r="651" spans="1:23" ht="60.75" customHeight="1">
      <c r="A651" s="134"/>
      <c r="B651" s="134"/>
      <c r="C651" s="134"/>
      <c r="D651" s="146"/>
      <c r="E651" s="44" t="s">
        <v>507</v>
      </c>
      <c r="F651" s="68">
        <f t="shared" si="88"/>
        <v>311000</v>
      </c>
      <c r="G651" s="76">
        <v>1</v>
      </c>
      <c r="H651" s="68">
        <f t="shared" si="87"/>
        <v>311000</v>
      </c>
      <c r="I651" s="30">
        <f>118000+193000</f>
        <v>311000</v>
      </c>
      <c r="J651" s="116"/>
      <c r="K651" s="116"/>
      <c r="L651" s="116">
        <v>31100</v>
      </c>
      <c r="M651" s="116"/>
      <c r="N651" s="116"/>
      <c r="O651" s="116">
        <f>41985-73085</f>
        <v>-31100</v>
      </c>
      <c r="P651" s="116">
        <f>237915</f>
        <v>237915</v>
      </c>
      <c r="Q651" s="116">
        <f>139950-139950</f>
        <v>0</v>
      </c>
      <c r="R651" s="116"/>
      <c r="S651" s="116"/>
      <c r="T651" s="116">
        <f>139950-139950</f>
        <v>0</v>
      </c>
      <c r="U651" s="116">
        <v>73085</v>
      </c>
      <c r="V651" s="17">
        <f t="shared" si="86"/>
        <v>0</v>
      </c>
      <c r="W651" s="17"/>
    </row>
    <row r="652" spans="1:23" ht="156.75" customHeight="1">
      <c r="A652" s="134"/>
      <c r="B652" s="134"/>
      <c r="C652" s="134"/>
      <c r="D652" s="146"/>
      <c r="E652" s="44" t="s">
        <v>608</v>
      </c>
      <c r="F652" s="68">
        <f t="shared" si="88"/>
        <v>450000</v>
      </c>
      <c r="G652" s="76">
        <v>1</v>
      </c>
      <c r="H652" s="68">
        <f t="shared" si="87"/>
        <v>450000</v>
      </c>
      <c r="I652" s="30">
        <v>450000</v>
      </c>
      <c r="J652" s="116"/>
      <c r="K652" s="116">
        <v>450000</v>
      </c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  <c r="V652" s="17">
        <f t="shared" si="86"/>
        <v>0</v>
      </c>
      <c r="W652" s="17"/>
    </row>
    <row r="653" spans="1:23" ht="54" hidden="1">
      <c r="A653" s="134"/>
      <c r="B653" s="134"/>
      <c r="C653" s="134"/>
      <c r="D653" s="146"/>
      <c r="E653" s="44" t="s">
        <v>509</v>
      </c>
      <c r="F653" s="68">
        <f t="shared" si="88"/>
        <v>0</v>
      </c>
      <c r="G653" s="76">
        <v>1</v>
      </c>
      <c r="H653" s="68">
        <f t="shared" si="87"/>
        <v>0</v>
      </c>
      <c r="I653" s="30">
        <f>116000-116000</f>
        <v>0</v>
      </c>
      <c r="J653" s="116"/>
      <c r="K653" s="116"/>
      <c r="L653" s="116">
        <v>11600</v>
      </c>
      <c r="M653" s="116"/>
      <c r="N653" s="116">
        <f>-11600+81600</f>
        <v>70000</v>
      </c>
      <c r="O653" s="116">
        <v>-81600</v>
      </c>
      <c r="P653" s="116"/>
      <c r="Q653" s="116"/>
      <c r="R653" s="116">
        <f>81200-81200</f>
        <v>0</v>
      </c>
      <c r="S653" s="116"/>
      <c r="T653" s="116">
        <f>23200+11600-400-34400</f>
        <v>0</v>
      </c>
      <c r="U653" s="116"/>
      <c r="V653" s="17">
        <f t="shared" si="86"/>
        <v>0</v>
      </c>
      <c r="W653" s="17"/>
    </row>
    <row r="654" spans="1:23" ht="61.5" customHeight="1" hidden="1">
      <c r="A654" s="134"/>
      <c r="B654" s="134"/>
      <c r="C654" s="134"/>
      <c r="D654" s="146"/>
      <c r="E654" s="44" t="s">
        <v>618</v>
      </c>
      <c r="F654" s="68">
        <f t="shared" si="88"/>
        <v>0</v>
      </c>
      <c r="G654" s="76">
        <v>1</v>
      </c>
      <c r="H654" s="68">
        <f t="shared" si="87"/>
        <v>0</v>
      </c>
      <c r="I654" s="30">
        <f>116000-116000</f>
        <v>0</v>
      </c>
      <c r="J654" s="116"/>
      <c r="K654" s="116"/>
      <c r="L654" s="116">
        <v>11600</v>
      </c>
      <c r="M654" s="116">
        <v>-11600</v>
      </c>
      <c r="N654" s="116"/>
      <c r="O654" s="116"/>
      <c r="P654" s="116"/>
      <c r="Q654" s="116"/>
      <c r="R654" s="116">
        <f>81200-81200</f>
        <v>0</v>
      </c>
      <c r="S654" s="116"/>
      <c r="T654" s="116">
        <f>23200-23200</f>
        <v>0</v>
      </c>
      <c r="U654" s="116"/>
      <c r="V654" s="17">
        <f t="shared" si="86"/>
        <v>0</v>
      </c>
      <c r="W654" s="17"/>
    </row>
    <row r="655" spans="1:23" ht="141" customHeight="1">
      <c r="A655" s="134"/>
      <c r="B655" s="134"/>
      <c r="C655" s="134"/>
      <c r="D655" s="146"/>
      <c r="E655" s="44" t="s">
        <v>607</v>
      </c>
      <c r="F655" s="68">
        <f t="shared" si="88"/>
        <v>240000</v>
      </c>
      <c r="G655" s="76">
        <v>1</v>
      </c>
      <c r="H655" s="68">
        <f t="shared" si="87"/>
        <v>240000</v>
      </c>
      <c r="I655" s="30">
        <v>240000</v>
      </c>
      <c r="J655" s="116"/>
      <c r="K655" s="116">
        <v>240000</v>
      </c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  <c r="V655" s="17">
        <f t="shared" si="86"/>
        <v>0</v>
      </c>
      <c r="W655" s="17"/>
    </row>
    <row r="656" spans="1:23" ht="75">
      <c r="A656" s="134"/>
      <c r="B656" s="134"/>
      <c r="C656" s="134"/>
      <c r="D656" s="146"/>
      <c r="E656" s="44" t="s">
        <v>511</v>
      </c>
      <c r="F656" s="68">
        <f t="shared" si="88"/>
        <v>580000</v>
      </c>
      <c r="G656" s="76">
        <v>1</v>
      </c>
      <c r="H656" s="68">
        <f t="shared" si="87"/>
        <v>580000</v>
      </c>
      <c r="I656" s="30">
        <v>580000</v>
      </c>
      <c r="J656" s="116"/>
      <c r="K656" s="116"/>
      <c r="L656" s="116">
        <v>58000</v>
      </c>
      <c r="M656" s="116"/>
      <c r="N656" s="116">
        <v>-58000</v>
      </c>
      <c r="O656" s="116"/>
      <c r="P656" s="116"/>
      <c r="Q656" s="116"/>
      <c r="R656" s="116">
        <v>406000</v>
      </c>
      <c r="S656" s="116"/>
      <c r="T656" s="116">
        <f>116000+58000</f>
        <v>174000</v>
      </c>
      <c r="U656" s="116"/>
      <c r="V656" s="17">
        <f t="shared" si="86"/>
        <v>0</v>
      </c>
      <c r="W656" s="17"/>
    </row>
    <row r="657" spans="1:23" ht="81.75" customHeight="1">
      <c r="A657" s="134"/>
      <c r="B657" s="134"/>
      <c r="C657" s="134"/>
      <c r="D657" s="146"/>
      <c r="E657" s="44" t="s">
        <v>578</v>
      </c>
      <c r="F657" s="68">
        <f t="shared" si="88"/>
        <v>133000</v>
      </c>
      <c r="G657" s="76">
        <v>1</v>
      </c>
      <c r="H657" s="68">
        <f t="shared" si="87"/>
        <v>133000</v>
      </c>
      <c r="I657" s="30">
        <v>133000</v>
      </c>
      <c r="J657" s="116"/>
      <c r="K657" s="116"/>
      <c r="L657" s="116">
        <v>13300</v>
      </c>
      <c r="M657" s="116"/>
      <c r="N657" s="116">
        <v>-13300</v>
      </c>
      <c r="O657" s="116">
        <f>19950</f>
        <v>19950</v>
      </c>
      <c r="P657" s="116">
        <f>113050</f>
        <v>113050</v>
      </c>
      <c r="Q657" s="116"/>
      <c r="R657" s="116">
        <f>93100-93100</f>
        <v>0</v>
      </c>
      <c r="S657" s="116"/>
      <c r="T657" s="116">
        <f>26600+13300-39900</f>
        <v>0</v>
      </c>
      <c r="U657" s="116"/>
      <c r="V657" s="17">
        <f aca="true" t="shared" si="89" ref="V657:V728">I657-J657-K657-L657-M657-N657-O657-P657-Q657-R657-S657-T657-U657</f>
        <v>0</v>
      </c>
      <c r="W657" s="17"/>
    </row>
    <row r="658" spans="1:23" ht="60.75" customHeight="1">
      <c r="A658" s="134"/>
      <c r="B658" s="134"/>
      <c r="C658" s="134"/>
      <c r="D658" s="146"/>
      <c r="E658" s="44" t="s">
        <v>640</v>
      </c>
      <c r="F658" s="68">
        <f t="shared" si="88"/>
        <v>133000</v>
      </c>
      <c r="G658" s="76">
        <v>1</v>
      </c>
      <c r="H658" s="68">
        <f t="shared" si="87"/>
        <v>133000</v>
      </c>
      <c r="I658" s="30">
        <v>133000</v>
      </c>
      <c r="J658" s="116"/>
      <c r="K658" s="116"/>
      <c r="L658" s="116">
        <v>13300</v>
      </c>
      <c r="M658" s="116"/>
      <c r="N658" s="116">
        <v>-13300</v>
      </c>
      <c r="O658" s="116"/>
      <c r="P658" s="116"/>
      <c r="Q658" s="116"/>
      <c r="R658" s="116">
        <v>93100</v>
      </c>
      <c r="S658" s="116"/>
      <c r="T658" s="116">
        <f>26600+13300</f>
        <v>39900</v>
      </c>
      <c r="U658" s="116"/>
      <c r="V658" s="17">
        <f t="shared" si="89"/>
        <v>0</v>
      </c>
      <c r="W658" s="17"/>
    </row>
    <row r="659" spans="1:23" ht="75">
      <c r="A659" s="134"/>
      <c r="B659" s="134"/>
      <c r="C659" s="134"/>
      <c r="D659" s="146"/>
      <c r="E659" s="44" t="s">
        <v>1073</v>
      </c>
      <c r="F659" s="68">
        <f t="shared" si="88"/>
        <v>232000</v>
      </c>
      <c r="G659" s="76">
        <v>1</v>
      </c>
      <c r="H659" s="68">
        <f t="shared" si="87"/>
        <v>232000</v>
      </c>
      <c r="I659" s="30">
        <v>232000</v>
      </c>
      <c r="J659" s="116"/>
      <c r="K659" s="116"/>
      <c r="L659" s="116">
        <v>23200</v>
      </c>
      <c r="M659" s="116"/>
      <c r="N659" s="116">
        <v>-23200</v>
      </c>
      <c r="O659" s="116"/>
      <c r="P659" s="116"/>
      <c r="Q659" s="116"/>
      <c r="R659" s="116">
        <v>162400</v>
      </c>
      <c r="S659" s="116"/>
      <c r="T659" s="116">
        <f>46400+23200</f>
        <v>69600</v>
      </c>
      <c r="U659" s="116"/>
      <c r="V659" s="17">
        <f t="shared" si="89"/>
        <v>0</v>
      </c>
      <c r="W659" s="17"/>
    </row>
    <row r="660" spans="1:23" ht="81.75" customHeight="1">
      <c r="A660" s="134"/>
      <c r="B660" s="134"/>
      <c r="C660" s="134"/>
      <c r="D660" s="146"/>
      <c r="E660" s="44" t="s">
        <v>466</v>
      </c>
      <c r="F660" s="68">
        <f t="shared" si="88"/>
        <v>133000</v>
      </c>
      <c r="G660" s="76">
        <v>1</v>
      </c>
      <c r="H660" s="68">
        <f t="shared" si="87"/>
        <v>133000</v>
      </c>
      <c r="I660" s="30">
        <v>133000</v>
      </c>
      <c r="J660" s="116"/>
      <c r="K660" s="116"/>
      <c r="L660" s="116">
        <v>13300</v>
      </c>
      <c r="M660" s="116"/>
      <c r="N660" s="116">
        <v>-13300</v>
      </c>
      <c r="O660" s="116"/>
      <c r="P660" s="116"/>
      <c r="Q660" s="116"/>
      <c r="R660" s="116">
        <v>93100</v>
      </c>
      <c r="S660" s="116"/>
      <c r="T660" s="116">
        <f>26600+13300</f>
        <v>39900</v>
      </c>
      <c r="U660" s="116"/>
      <c r="V660" s="17">
        <f t="shared" si="89"/>
        <v>0</v>
      </c>
      <c r="W660" s="17"/>
    </row>
    <row r="661" spans="1:23" ht="37.5">
      <c r="A661" s="134"/>
      <c r="B661" s="134"/>
      <c r="C661" s="134"/>
      <c r="D661" s="146"/>
      <c r="E661" s="44" t="s">
        <v>447</v>
      </c>
      <c r="F661" s="68">
        <f t="shared" si="88"/>
        <v>615100</v>
      </c>
      <c r="G661" s="76">
        <v>1</v>
      </c>
      <c r="H661" s="68">
        <f t="shared" si="87"/>
        <v>615100</v>
      </c>
      <c r="I661" s="30">
        <f>767000-151900</f>
        <v>615100</v>
      </c>
      <c r="J661" s="116"/>
      <c r="K661" s="116"/>
      <c r="L661" s="116">
        <v>76700</v>
      </c>
      <c r="M661" s="116">
        <f>400000-9653</f>
        <v>390347</v>
      </c>
      <c r="N661" s="116">
        <v>147609</v>
      </c>
      <c r="O661" s="116">
        <v>-2154.59</v>
      </c>
      <c r="P661" s="116"/>
      <c r="Q661" s="116"/>
      <c r="R661" s="116">
        <f>536900-400000-67081-69819</f>
        <v>0</v>
      </c>
      <c r="S661" s="116"/>
      <c r="T661" s="116">
        <f>153400-75166-77790</f>
        <v>444</v>
      </c>
      <c r="U661" s="116">
        <v>2154.59</v>
      </c>
      <c r="V661" s="17">
        <f t="shared" si="89"/>
        <v>0</v>
      </c>
      <c r="W661" s="17">
        <f>32000+25000+400000+155501.4</f>
        <v>612501.4</v>
      </c>
    </row>
    <row r="662" spans="1:23" ht="37.5">
      <c r="A662" s="134"/>
      <c r="B662" s="134"/>
      <c r="C662" s="134"/>
      <c r="D662" s="146"/>
      <c r="E662" s="44" t="s">
        <v>623</v>
      </c>
      <c r="F662" s="68">
        <f t="shared" si="88"/>
        <v>979000</v>
      </c>
      <c r="G662" s="76">
        <v>1</v>
      </c>
      <c r="H662" s="68">
        <f t="shared" si="87"/>
        <v>979000</v>
      </c>
      <c r="I662" s="30">
        <v>979000</v>
      </c>
      <c r="J662" s="116"/>
      <c r="K662" s="116"/>
      <c r="L662" s="116">
        <v>97900</v>
      </c>
      <c r="M662" s="116">
        <v>360000</v>
      </c>
      <c r="N662" s="116">
        <v>132732</v>
      </c>
      <c r="O662" s="116">
        <v>-52055.07</v>
      </c>
      <c r="P662" s="116"/>
      <c r="Q662" s="116"/>
      <c r="R662" s="116">
        <f>685300-360000-132732</f>
        <v>192568</v>
      </c>
      <c r="S662" s="116"/>
      <c r="T662" s="116">
        <v>195800</v>
      </c>
      <c r="U662" s="116">
        <v>52055.07</v>
      </c>
      <c r="V662" s="17">
        <f t="shared" si="89"/>
        <v>0</v>
      </c>
      <c r="W662" s="17">
        <f>28000+20000+360000+130576.93</f>
        <v>538576.9299999999</v>
      </c>
    </row>
    <row r="663" spans="1:23" ht="30" customHeight="1">
      <c r="A663" s="134"/>
      <c r="B663" s="134"/>
      <c r="C663" s="134"/>
      <c r="D663" s="146"/>
      <c r="E663" s="44" t="s">
        <v>624</v>
      </c>
      <c r="F663" s="68">
        <f t="shared" si="88"/>
        <v>493000</v>
      </c>
      <c r="G663" s="76">
        <v>1</v>
      </c>
      <c r="H663" s="68">
        <f t="shared" si="87"/>
        <v>493000</v>
      </c>
      <c r="I663" s="30">
        <f>560000-67000</f>
        <v>493000</v>
      </c>
      <c r="J663" s="116"/>
      <c r="K663" s="116"/>
      <c r="L663" s="116">
        <v>56000</v>
      </c>
      <c r="M663" s="116">
        <f>504000-67000</f>
        <v>437000</v>
      </c>
      <c r="N663" s="116">
        <v>-280341</v>
      </c>
      <c r="O663" s="116">
        <f>42051.15-50400</f>
        <v>-8348.849999999999</v>
      </c>
      <c r="P663" s="116">
        <f>238289.85</f>
        <v>238289.85</v>
      </c>
      <c r="Q663" s="116"/>
      <c r="R663" s="116">
        <f>392000-392000+202551-202551</f>
        <v>0</v>
      </c>
      <c r="S663" s="116">
        <v>28400</v>
      </c>
      <c r="T663" s="116">
        <f>112000-112000+77790-77790</f>
        <v>0</v>
      </c>
      <c r="U663" s="116">
        <v>22000</v>
      </c>
      <c r="V663" s="17">
        <f t="shared" si="89"/>
        <v>-2.9103830456733704E-11</v>
      </c>
      <c r="W663" s="17"/>
    </row>
    <row r="664" spans="1:23" ht="134.25" customHeight="1">
      <c r="A664" s="134"/>
      <c r="B664" s="134"/>
      <c r="C664" s="134"/>
      <c r="D664" s="146"/>
      <c r="E664" s="44" t="s">
        <v>641</v>
      </c>
      <c r="F664" s="68">
        <f t="shared" si="88"/>
        <v>134745</v>
      </c>
      <c r="G664" s="76">
        <v>1</v>
      </c>
      <c r="H664" s="68">
        <f t="shared" si="87"/>
        <v>134745</v>
      </c>
      <c r="I664" s="30">
        <v>134745</v>
      </c>
      <c r="J664" s="116"/>
      <c r="K664" s="116">
        <v>134745</v>
      </c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  <c r="V664" s="17">
        <f t="shared" si="89"/>
        <v>0</v>
      </c>
      <c r="W664" s="17"/>
    </row>
    <row r="665" spans="1:23" ht="41.25" customHeight="1">
      <c r="A665" s="134"/>
      <c r="B665" s="134"/>
      <c r="C665" s="134"/>
      <c r="D665" s="146"/>
      <c r="E665" s="44" t="s">
        <v>497</v>
      </c>
      <c r="F665" s="68">
        <f t="shared" si="88"/>
        <v>2516000</v>
      </c>
      <c r="G665" s="76">
        <v>1</v>
      </c>
      <c r="H665" s="68">
        <f t="shared" si="87"/>
        <v>2516000</v>
      </c>
      <c r="I665" s="30">
        <f>2400000+116000</f>
        <v>2516000</v>
      </c>
      <c r="J665" s="116"/>
      <c r="K665" s="116"/>
      <c r="L665" s="116">
        <v>240000</v>
      </c>
      <c r="M665" s="116">
        <v>11600</v>
      </c>
      <c r="N665" s="116"/>
      <c r="O665" s="116">
        <v>28400</v>
      </c>
      <c r="P665" s="116"/>
      <c r="Q665" s="116"/>
      <c r="R665" s="116"/>
      <c r="S665" s="116">
        <f>81200-28400</f>
        <v>52800</v>
      </c>
      <c r="T665" s="116">
        <v>1080000</v>
      </c>
      <c r="U665" s="116">
        <f>1080000+23200</f>
        <v>1103200</v>
      </c>
      <c r="V665" s="17">
        <f t="shared" si="89"/>
        <v>0</v>
      </c>
      <c r="W665" s="17">
        <f>86000+194000</f>
        <v>280000</v>
      </c>
    </row>
    <row r="666" spans="1:23" ht="62.25" customHeight="1">
      <c r="A666" s="134"/>
      <c r="B666" s="134"/>
      <c r="C666" s="134"/>
      <c r="D666" s="146"/>
      <c r="E666" s="44" t="s">
        <v>551</v>
      </c>
      <c r="F666" s="68">
        <f t="shared" si="88"/>
        <v>2034000</v>
      </c>
      <c r="G666" s="76">
        <v>1</v>
      </c>
      <c r="H666" s="68">
        <f t="shared" si="87"/>
        <v>2034000</v>
      </c>
      <c r="I666" s="30">
        <v>2034000</v>
      </c>
      <c r="J666" s="116"/>
      <c r="K666" s="116"/>
      <c r="L666" s="116">
        <v>203400</v>
      </c>
      <c r="M666" s="116"/>
      <c r="N666" s="116"/>
      <c r="O666" s="116"/>
      <c r="P666" s="116"/>
      <c r="Q666" s="116"/>
      <c r="R666" s="116"/>
      <c r="S666" s="116"/>
      <c r="T666" s="116">
        <v>915300</v>
      </c>
      <c r="U666" s="116">
        <v>915300</v>
      </c>
      <c r="V666" s="17">
        <f t="shared" si="89"/>
        <v>0</v>
      </c>
      <c r="W666" s="17">
        <f>57425.03+133991.74</f>
        <v>191416.77</v>
      </c>
    </row>
    <row r="667" spans="1:23" ht="56.25">
      <c r="A667" s="134"/>
      <c r="B667" s="134"/>
      <c r="C667" s="134"/>
      <c r="D667" s="146"/>
      <c r="E667" s="44" t="s">
        <v>553</v>
      </c>
      <c r="F667" s="68">
        <f t="shared" si="88"/>
        <v>3501000</v>
      </c>
      <c r="G667" s="76">
        <v>1</v>
      </c>
      <c r="H667" s="68">
        <f t="shared" si="87"/>
        <v>3501000</v>
      </c>
      <c r="I667" s="30">
        <f>2301000+1200000</f>
        <v>3501000</v>
      </c>
      <c r="J667" s="116"/>
      <c r="K667" s="116"/>
      <c r="L667" s="116">
        <v>1100000</v>
      </c>
      <c r="M667" s="116">
        <f>1201000+1200000</f>
        <v>2401000</v>
      </c>
      <c r="N667" s="116"/>
      <c r="O667" s="116">
        <v>-161512.18</v>
      </c>
      <c r="P667" s="116"/>
      <c r="Q667" s="116">
        <f>1100000-1100000</f>
        <v>0</v>
      </c>
      <c r="R667" s="116"/>
      <c r="S667" s="116"/>
      <c r="T667" s="116">
        <f>1201000-1201000</f>
        <v>0</v>
      </c>
      <c r="U667" s="116">
        <v>161512.18</v>
      </c>
      <c r="V667" s="17">
        <f t="shared" si="89"/>
        <v>0</v>
      </c>
      <c r="W667" s="17">
        <f>1100000+1156000+18212.82+1065275</f>
        <v>3339487.82</v>
      </c>
    </row>
    <row r="668" spans="1:23" ht="37.5">
      <c r="A668" s="134"/>
      <c r="B668" s="134"/>
      <c r="C668" s="134"/>
      <c r="D668" s="146"/>
      <c r="E668" s="44" t="s">
        <v>1062</v>
      </c>
      <c r="F668" s="68">
        <f t="shared" si="88"/>
        <v>1472000</v>
      </c>
      <c r="G668" s="76">
        <v>1</v>
      </c>
      <c r="H668" s="68">
        <f t="shared" si="87"/>
        <v>1472000</v>
      </c>
      <c r="I668" s="30">
        <f>767000+528000+177000</f>
        <v>1472000</v>
      </c>
      <c r="J668" s="116"/>
      <c r="K668" s="116"/>
      <c r="L668" s="116">
        <v>76700</v>
      </c>
      <c r="M668" s="116">
        <f>536900+153400+528000+177000</f>
        <v>1395300</v>
      </c>
      <c r="N668" s="116"/>
      <c r="O668" s="116"/>
      <c r="P668" s="116">
        <f>153400-153400</f>
        <v>0</v>
      </c>
      <c r="Q668" s="116"/>
      <c r="R668" s="116"/>
      <c r="S668" s="116"/>
      <c r="T668" s="116"/>
      <c r="U668" s="116"/>
      <c r="V668" s="17">
        <f t="shared" si="89"/>
        <v>0</v>
      </c>
      <c r="W668" s="17">
        <f>33000+26000+1050000+337396.91+20161.07</f>
        <v>1466557.98</v>
      </c>
    </row>
    <row r="669" spans="1:23" ht="18.75">
      <c r="A669" s="134"/>
      <c r="B669" s="134"/>
      <c r="C669" s="134"/>
      <c r="D669" s="146"/>
      <c r="E669" s="44" t="s">
        <v>549</v>
      </c>
      <c r="F669" s="68">
        <f t="shared" si="88"/>
        <v>367000</v>
      </c>
      <c r="G669" s="76">
        <v>1</v>
      </c>
      <c r="H669" s="68">
        <f t="shared" si="87"/>
        <v>367000</v>
      </c>
      <c r="I669" s="30">
        <v>367000</v>
      </c>
      <c r="J669" s="116"/>
      <c r="K669" s="116"/>
      <c r="L669" s="116">
        <v>118000</v>
      </c>
      <c r="M669" s="116"/>
      <c r="N669" s="116"/>
      <c r="O669" s="116">
        <f>249000-220000+22000</f>
        <v>51000</v>
      </c>
      <c r="P669" s="116"/>
      <c r="Q669" s="116"/>
      <c r="R669" s="116">
        <f>36700-36700</f>
        <v>0</v>
      </c>
      <c r="S669" s="116">
        <f>256900-118000-138900</f>
        <v>0</v>
      </c>
      <c r="T669" s="116"/>
      <c r="U669" s="116">
        <f>73400-73400+220000-22000</f>
        <v>198000</v>
      </c>
      <c r="V669" s="17">
        <f t="shared" si="89"/>
        <v>0</v>
      </c>
      <c r="W669" s="17">
        <f>67000+51000</f>
        <v>118000</v>
      </c>
    </row>
    <row r="670" spans="1:23" ht="24.75" customHeight="1">
      <c r="A670" s="134"/>
      <c r="B670" s="134"/>
      <c r="C670" s="134"/>
      <c r="D670" s="146"/>
      <c r="E670" s="44" t="s">
        <v>1059</v>
      </c>
      <c r="F670" s="68">
        <f t="shared" si="88"/>
        <v>837000</v>
      </c>
      <c r="G670" s="76">
        <v>1</v>
      </c>
      <c r="H670" s="68">
        <f t="shared" si="87"/>
        <v>837000</v>
      </c>
      <c r="I670" s="30">
        <f>770000+67000</f>
        <v>837000</v>
      </c>
      <c r="J670" s="116"/>
      <c r="K670" s="116"/>
      <c r="L670" s="116">
        <v>44000</v>
      </c>
      <c r="M670" s="116">
        <f>726000+67000</f>
        <v>793000</v>
      </c>
      <c r="N670" s="116"/>
      <c r="O670" s="116"/>
      <c r="P670" s="116"/>
      <c r="Q670" s="116"/>
      <c r="R670" s="116">
        <f>77000-77000</f>
        <v>0</v>
      </c>
      <c r="S670" s="116">
        <f>539000-44000-495000</f>
        <v>0</v>
      </c>
      <c r="T670" s="116"/>
      <c r="U670" s="116">
        <f>154000-154000</f>
        <v>0</v>
      </c>
      <c r="V670" s="17">
        <f t="shared" si="89"/>
        <v>0</v>
      </c>
      <c r="W670" s="17">
        <f>21000+23000+763798.77</f>
        <v>807798.77</v>
      </c>
    </row>
    <row r="671" spans="1:23" ht="55.5" customHeight="1">
      <c r="A671" s="134"/>
      <c r="B671" s="134"/>
      <c r="C671" s="134"/>
      <c r="D671" s="146"/>
      <c r="E671" s="44" t="s">
        <v>550</v>
      </c>
      <c r="F671" s="68">
        <f t="shared" si="88"/>
        <v>300000</v>
      </c>
      <c r="G671" s="76">
        <v>1</v>
      </c>
      <c r="H671" s="68">
        <f t="shared" si="87"/>
        <v>300000</v>
      </c>
      <c r="I671" s="30">
        <f>767000-467000</f>
        <v>300000</v>
      </c>
      <c r="J671" s="116"/>
      <c r="K671" s="116"/>
      <c r="L671" s="116">
        <v>26000</v>
      </c>
      <c r="M671" s="116">
        <f>741000-467000</f>
        <v>274000</v>
      </c>
      <c r="N671" s="116"/>
      <c r="O671" s="116">
        <v>-270000</v>
      </c>
      <c r="P671" s="116"/>
      <c r="Q671" s="116"/>
      <c r="R671" s="116">
        <f>76700-76700</f>
        <v>0</v>
      </c>
      <c r="S671" s="116">
        <f>536900-26000-510900</f>
        <v>0</v>
      </c>
      <c r="T671" s="116"/>
      <c r="U671" s="116">
        <f>153400-153400+270000</f>
        <v>270000</v>
      </c>
      <c r="V671" s="17">
        <f t="shared" si="89"/>
        <v>0</v>
      </c>
      <c r="W671" s="17">
        <f>15000+11000</f>
        <v>26000</v>
      </c>
    </row>
    <row r="672" spans="1:23" ht="96" customHeight="1">
      <c r="A672" s="134"/>
      <c r="B672" s="134"/>
      <c r="C672" s="134"/>
      <c r="D672" s="146"/>
      <c r="E672" s="44" t="s">
        <v>533</v>
      </c>
      <c r="F672" s="68">
        <f t="shared" si="88"/>
        <v>70000</v>
      </c>
      <c r="G672" s="76">
        <v>1</v>
      </c>
      <c r="H672" s="68">
        <f t="shared" si="87"/>
        <v>70000</v>
      </c>
      <c r="I672" s="30">
        <v>70000</v>
      </c>
      <c r="J672" s="116"/>
      <c r="K672" s="116">
        <v>70000</v>
      </c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  <c r="V672" s="17">
        <f t="shared" si="89"/>
        <v>0</v>
      </c>
      <c r="W672" s="17"/>
    </row>
    <row r="673" spans="1:23" ht="93.75">
      <c r="A673" s="134"/>
      <c r="B673" s="134"/>
      <c r="C673" s="134"/>
      <c r="D673" s="146"/>
      <c r="E673" s="44" t="s">
        <v>1111</v>
      </c>
      <c r="F673" s="68">
        <f t="shared" si="88"/>
        <v>918900</v>
      </c>
      <c r="G673" s="76">
        <v>1</v>
      </c>
      <c r="H673" s="68">
        <f t="shared" si="87"/>
        <v>918900</v>
      </c>
      <c r="I673" s="30">
        <f>767000+151900</f>
        <v>918900</v>
      </c>
      <c r="J673" s="116"/>
      <c r="K673" s="116"/>
      <c r="L673" s="116"/>
      <c r="M673" s="116">
        <v>9653</v>
      </c>
      <c r="N673" s="116"/>
      <c r="O673" s="116">
        <f>909247-722589</f>
        <v>186658</v>
      </c>
      <c r="P673" s="116"/>
      <c r="Q673" s="116">
        <f>76700-76700</f>
        <v>0</v>
      </c>
      <c r="R673" s="116">
        <f>67081-67081</f>
        <v>0</v>
      </c>
      <c r="S673" s="116">
        <f>536900-536900</f>
        <v>0</v>
      </c>
      <c r="T673" s="116">
        <f>75166-75166</f>
        <v>0</v>
      </c>
      <c r="U673" s="116">
        <f>153400-153400+722589</f>
        <v>722589</v>
      </c>
      <c r="V673" s="17">
        <f t="shared" si="89"/>
        <v>0</v>
      </c>
      <c r="W673" s="17"/>
    </row>
    <row r="674" spans="1:23" ht="37.5">
      <c r="A674" s="134"/>
      <c r="B674" s="134"/>
      <c r="C674" s="134"/>
      <c r="D674" s="146"/>
      <c r="E674" s="44" t="s">
        <v>554</v>
      </c>
      <c r="F674" s="68">
        <f t="shared" si="88"/>
        <v>1473500</v>
      </c>
      <c r="G674" s="76">
        <v>1</v>
      </c>
      <c r="H674" s="68">
        <f t="shared" si="87"/>
        <v>1473500</v>
      </c>
      <c r="I674" s="30">
        <v>1473500</v>
      </c>
      <c r="J674" s="116"/>
      <c r="K674" s="116"/>
      <c r="L674" s="116">
        <v>900000</v>
      </c>
      <c r="M674" s="116">
        <v>-900000</v>
      </c>
      <c r="N674" s="116"/>
      <c r="O674" s="116">
        <v>573500</v>
      </c>
      <c r="P674" s="116"/>
      <c r="Q674" s="116"/>
      <c r="R674" s="116"/>
      <c r="S674" s="116"/>
      <c r="T674" s="116">
        <v>900000</v>
      </c>
      <c r="U674" s="116"/>
      <c r="V674" s="17">
        <f t="shared" si="89"/>
        <v>0</v>
      </c>
      <c r="W674" s="17"/>
    </row>
    <row r="675" spans="1:23" ht="56.25">
      <c r="A675" s="134"/>
      <c r="B675" s="134"/>
      <c r="C675" s="134"/>
      <c r="D675" s="146"/>
      <c r="E675" s="44" t="s">
        <v>492</v>
      </c>
      <c r="F675" s="68">
        <f t="shared" si="88"/>
        <v>4845598</v>
      </c>
      <c r="G675" s="76">
        <v>1</v>
      </c>
      <c r="H675" s="68">
        <f t="shared" si="87"/>
        <v>4845598</v>
      </c>
      <c r="I675" s="30">
        <f>4555598+290000</f>
        <v>4845598</v>
      </c>
      <c r="J675" s="116"/>
      <c r="K675" s="116"/>
      <c r="L675" s="116">
        <v>2200000</v>
      </c>
      <c r="M675" s="116">
        <f>900000+290000</f>
        <v>1190000</v>
      </c>
      <c r="N675" s="116"/>
      <c r="O675" s="116">
        <f>1455598</f>
        <v>1455598</v>
      </c>
      <c r="P675" s="116"/>
      <c r="Q675" s="116">
        <f>2355598-900000-1455598</f>
        <v>0</v>
      </c>
      <c r="R675" s="116"/>
      <c r="S675" s="116"/>
      <c r="T675" s="116"/>
      <c r="U675" s="116"/>
      <c r="V675" s="17">
        <f t="shared" si="89"/>
        <v>0</v>
      </c>
      <c r="W675" s="17">
        <f>1339880+284982.79+729917+12975.28+802117+33772+1104914</f>
        <v>4308558.07</v>
      </c>
    </row>
    <row r="676" spans="1:23" ht="37.5">
      <c r="A676" s="134"/>
      <c r="B676" s="134"/>
      <c r="C676" s="134"/>
      <c r="D676" s="146"/>
      <c r="E676" s="44" t="s">
        <v>490</v>
      </c>
      <c r="F676" s="68">
        <f t="shared" si="88"/>
        <v>5206455</v>
      </c>
      <c r="G676" s="76">
        <v>1</v>
      </c>
      <c r="H676" s="68">
        <f t="shared" si="87"/>
        <v>5206455</v>
      </c>
      <c r="I676" s="30">
        <v>5206455</v>
      </c>
      <c r="J676" s="116"/>
      <c r="K676" s="116"/>
      <c r="L676" s="116">
        <v>2550000</v>
      </c>
      <c r="M676" s="116"/>
      <c r="N676" s="116">
        <v>2656455</v>
      </c>
      <c r="O676" s="116"/>
      <c r="P676" s="116"/>
      <c r="Q676" s="116"/>
      <c r="R676" s="116"/>
      <c r="S676" s="116"/>
      <c r="T676" s="116"/>
      <c r="U676" s="116"/>
      <c r="V676" s="17">
        <f t="shared" si="89"/>
        <v>0</v>
      </c>
      <c r="W676" s="17">
        <f>2533359+1399329</f>
        <v>3932688</v>
      </c>
    </row>
    <row r="677" spans="1:23" ht="37.5">
      <c r="A677" s="134"/>
      <c r="B677" s="134"/>
      <c r="C677" s="134"/>
      <c r="D677" s="146"/>
      <c r="E677" s="44" t="s">
        <v>416</v>
      </c>
      <c r="F677" s="68">
        <f t="shared" si="88"/>
        <v>4678629</v>
      </c>
      <c r="G677" s="76">
        <v>1</v>
      </c>
      <c r="H677" s="68">
        <f t="shared" si="87"/>
        <v>4678629</v>
      </c>
      <c r="I677" s="30">
        <v>4678629</v>
      </c>
      <c r="J677" s="116"/>
      <c r="K677" s="116"/>
      <c r="L677" s="116"/>
      <c r="M677" s="116"/>
      <c r="N677" s="116"/>
      <c r="O677" s="116"/>
      <c r="P677" s="116">
        <v>1790000</v>
      </c>
      <c r="Q677" s="116"/>
      <c r="R677" s="116">
        <v>250000</v>
      </c>
      <c r="S677" s="116">
        <v>2378629</v>
      </c>
      <c r="T677" s="116"/>
      <c r="U677" s="116">
        <v>260000</v>
      </c>
      <c r="V677" s="17">
        <f t="shared" si="89"/>
        <v>0</v>
      </c>
      <c r="W677" s="17"/>
    </row>
    <row r="678" spans="1:23" ht="41.25" customHeight="1">
      <c r="A678" s="134"/>
      <c r="B678" s="134"/>
      <c r="C678" s="134"/>
      <c r="D678" s="146"/>
      <c r="E678" s="44" t="s">
        <v>1113</v>
      </c>
      <c r="F678" s="68">
        <f t="shared" si="88"/>
        <v>443000</v>
      </c>
      <c r="G678" s="76">
        <v>1</v>
      </c>
      <c r="H678" s="68">
        <f t="shared" si="87"/>
        <v>443000</v>
      </c>
      <c r="I678" s="30">
        <f>367000+76000</f>
        <v>443000</v>
      </c>
      <c r="J678" s="116"/>
      <c r="K678" s="116"/>
      <c r="L678" s="116">
        <v>58000</v>
      </c>
      <c r="M678" s="116">
        <v>7600</v>
      </c>
      <c r="N678" s="116">
        <v>288800</v>
      </c>
      <c r="O678" s="116"/>
      <c r="P678" s="116"/>
      <c r="Q678" s="116"/>
      <c r="R678" s="116">
        <f>36700-36700</f>
        <v>0</v>
      </c>
      <c r="S678" s="116">
        <f>256900-58000+53200-252100</f>
        <v>0</v>
      </c>
      <c r="T678" s="116"/>
      <c r="U678" s="116">
        <f>73400+15200</f>
        <v>88600</v>
      </c>
      <c r="V678" s="17">
        <f t="shared" si="89"/>
        <v>0</v>
      </c>
      <c r="W678" s="17">
        <f>34000+24000+80000</f>
        <v>138000</v>
      </c>
    </row>
    <row r="679" spans="1:23" ht="64.5" customHeight="1">
      <c r="A679" s="134"/>
      <c r="B679" s="134"/>
      <c r="C679" s="134"/>
      <c r="D679" s="146"/>
      <c r="E679" s="44" t="s">
        <v>1072</v>
      </c>
      <c r="F679" s="68">
        <f t="shared" si="88"/>
        <v>3829000</v>
      </c>
      <c r="G679" s="76">
        <v>1</v>
      </c>
      <c r="H679" s="68">
        <f t="shared" si="87"/>
        <v>3829000</v>
      </c>
      <c r="I679" s="30">
        <v>3829000</v>
      </c>
      <c r="J679" s="116"/>
      <c r="K679" s="116"/>
      <c r="L679" s="116"/>
      <c r="M679" s="116"/>
      <c r="N679" s="116"/>
      <c r="O679" s="116"/>
      <c r="P679" s="116">
        <v>1800000</v>
      </c>
      <c r="Q679" s="116"/>
      <c r="R679" s="116"/>
      <c r="S679" s="116">
        <v>2029000</v>
      </c>
      <c r="T679" s="116"/>
      <c r="U679" s="116"/>
      <c r="V679" s="17">
        <f t="shared" si="89"/>
        <v>0</v>
      </c>
      <c r="W679" s="17"/>
    </row>
    <row r="680" spans="1:23" ht="56.25">
      <c r="A680" s="134"/>
      <c r="B680" s="134"/>
      <c r="C680" s="134"/>
      <c r="D680" s="146"/>
      <c r="E680" s="44" t="s">
        <v>491</v>
      </c>
      <c r="F680" s="68">
        <f t="shared" si="88"/>
        <v>3700000</v>
      </c>
      <c r="G680" s="76">
        <v>1</v>
      </c>
      <c r="H680" s="68">
        <f t="shared" si="87"/>
        <v>3700000</v>
      </c>
      <c r="I680" s="30">
        <v>3700000</v>
      </c>
      <c r="J680" s="116"/>
      <c r="K680" s="116"/>
      <c r="L680" s="116">
        <v>1800000</v>
      </c>
      <c r="M680" s="116"/>
      <c r="N680" s="116"/>
      <c r="O680" s="116">
        <f>1900000-1900000</f>
        <v>0</v>
      </c>
      <c r="P680" s="116"/>
      <c r="Q680" s="116">
        <v>1900000</v>
      </c>
      <c r="R680" s="116"/>
      <c r="S680" s="116"/>
      <c r="T680" s="116"/>
      <c r="U680" s="116"/>
      <c r="V680" s="17">
        <f t="shared" si="89"/>
        <v>0</v>
      </c>
      <c r="W680" s="17">
        <v>1800000</v>
      </c>
    </row>
    <row r="681" spans="1:23" ht="37.5">
      <c r="A681" s="134"/>
      <c r="B681" s="134"/>
      <c r="C681" s="134"/>
      <c r="D681" s="146"/>
      <c r="E681" s="44" t="s">
        <v>358</v>
      </c>
      <c r="F681" s="68">
        <f t="shared" si="88"/>
        <v>516000</v>
      </c>
      <c r="G681" s="76">
        <v>1</v>
      </c>
      <c r="H681" s="68">
        <f t="shared" si="87"/>
        <v>516000</v>
      </c>
      <c r="I681" s="30">
        <f>400000+116000</f>
        <v>516000</v>
      </c>
      <c r="J681" s="116"/>
      <c r="K681" s="116"/>
      <c r="L681" s="116">
        <v>200000</v>
      </c>
      <c r="M681" s="116"/>
      <c r="N681" s="116">
        <v>200000</v>
      </c>
      <c r="O681" s="116">
        <v>81600</v>
      </c>
      <c r="P681" s="116"/>
      <c r="Q681" s="116"/>
      <c r="R681" s="116">
        <f>200000-200000</f>
        <v>0</v>
      </c>
      <c r="S681" s="116"/>
      <c r="T681" s="116">
        <v>34400</v>
      </c>
      <c r="U681" s="116"/>
      <c r="V681" s="17">
        <f t="shared" si="89"/>
        <v>0</v>
      </c>
      <c r="W681" s="17">
        <v>173000</v>
      </c>
    </row>
    <row r="682" spans="1:23" ht="59.25" customHeight="1" hidden="1">
      <c r="A682" s="134"/>
      <c r="B682" s="134"/>
      <c r="C682" s="134"/>
      <c r="D682" s="146"/>
      <c r="E682" s="44" t="s">
        <v>706</v>
      </c>
      <c r="F682" s="68">
        <f t="shared" si="88"/>
        <v>0</v>
      </c>
      <c r="G682" s="76">
        <v>1</v>
      </c>
      <c r="H682" s="68">
        <f t="shared" si="87"/>
        <v>0</v>
      </c>
      <c r="I682" s="30">
        <f>117000-117000</f>
        <v>0</v>
      </c>
      <c r="J682" s="116"/>
      <c r="K682" s="116"/>
      <c r="L682" s="116"/>
      <c r="M682" s="116"/>
      <c r="N682" s="116"/>
      <c r="O682" s="116">
        <f>117000-117000</f>
        <v>0</v>
      </c>
      <c r="P682" s="116"/>
      <c r="Q682" s="116"/>
      <c r="R682" s="116"/>
      <c r="S682" s="116">
        <f>117000-117000</f>
        <v>0</v>
      </c>
      <c r="T682" s="116"/>
      <c r="U682" s="116"/>
      <c r="V682" s="17">
        <f t="shared" si="89"/>
        <v>0</v>
      </c>
      <c r="W682" s="17"/>
    </row>
    <row r="683" spans="1:23" ht="60" customHeight="1" hidden="1">
      <c r="A683" s="134"/>
      <c r="B683" s="134"/>
      <c r="C683" s="134"/>
      <c r="D683" s="146"/>
      <c r="E683" s="44" t="s">
        <v>707</v>
      </c>
      <c r="F683" s="68">
        <f t="shared" si="88"/>
        <v>0</v>
      </c>
      <c r="G683" s="76">
        <v>1</v>
      </c>
      <c r="H683" s="68">
        <f t="shared" si="87"/>
        <v>0</v>
      </c>
      <c r="I683" s="30">
        <f>116000-116000</f>
        <v>0</v>
      </c>
      <c r="J683" s="116"/>
      <c r="K683" s="116"/>
      <c r="L683" s="116"/>
      <c r="M683" s="116"/>
      <c r="N683" s="116"/>
      <c r="O683" s="116">
        <f>116000-116000</f>
        <v>0</v>
      </c>
      <c r="P683" s="116"/>
      <c r="Q683" s="116"/>
      <c r="R683" s="116">
        <f>116000-116000</f>
        <v>0</v>
      </c>
      <c r="S683" s="116"/>
      <c r="T683" s="116"/>
      <c r="U683" s="116"/>
      <c r="V683" s="17">
        <f t="shared" si="89"/>
        <v>0</v>
      </c>
      <c r="W683" s="17"/>
    </row>
    <row r="684" spans="1:23" ht="60" customHeight="1">
      <c r="A684" s="134"/>
      <c r="B684" s="134"/>
      <c r="C684" s="134"/>
      <c r="D684" s="146"/>
      <c r="E684" s="44" t="s">
        <v>1125</v>
      </c>
      <c r="F684" s="68"/>
      <c r="G684" s="76"/>
      <c r="H684" s="68"/>
      <c r="I684" s="30">
        <f>750000-50000</f>
        <v>700000</v>
      </c>
      <c r="J684" s="116"/>
      <c r="K684" s="116"/>
      <c r="L684" s="116"/>
      <c r="M684" s="116"/>
      <c r="N684" s="116"/>
      <c r="O684" s="116">
        <f>400000-50000</f>
        <v>350000</v>
      </c>
      <c r="P684" s="116"/>
      <c r="Q684" s="116"/>
      <c r="R684" s="116"/>
      <c r="S684" s="116"/>
      <c r="T684" s="116"/>
      <c r="U684" s="116">
        <v>350000</v>
      </c>
      <c r="V684" s="17">
        <f t="shared" si="89"/>
        <v>0</v>
      </c>
      <c r="W684" s="17"/>
    </row>
    <row r="685" spans="1:23" ht="60" customHeight="1">
      <c r="A685" s="134"/>
      <c r="B685" s="134"/>
      <c r="C685" s="134"/>
      <c r="D685" s="146"/>
      <c r="E685" s="44" t="s">
        <v>356</v>
      </c>
      <c r="F685" s="68"/>
      <c r="G685" s="76"/>
      <c r="H685" s="68"/>
      <c r="I685" s="30">
        <v>50000</v>
      </c>
      <c r="J685" s="116"/>
      <c r="K685" s="116"/>
      <c r="L685" s="116"/>
      <c r="M685" s="116"/>
      <c r="N685" s="116"/>
      <c r="O685" s="116">
        <v>50000</v>
      </c>
      <c r="P685" s="116"/>
      <c r="Q685" s="116"/>
      <c r="R685" s="116"/>
      <c r="S685" s="116"/>
      <c r="T685" s="116"/>
      <c r="U685" s="116"/>
      <c r="V685" s="17">
        <f>I685-J685-K685-L685-M685-N685-O685-P685-Q685-R685-S685-T685-U685</f>
        <v>0</v>
      </c>
      <c r="W685" s="17"/>
    </row>
    <row r="686" spans="1:23" ht="37.5">
      <c r="A686" s="134"/>
      <c r="B686" s="134"/>
      <c r="C686" s="134"/>
      <c r="D686" s="146"/>
      <c r="E686" s="44" t="s">
        <v>415</v>
      </c>
      <c r="F686" s="68">
        <f t="shared" si="88"/>
        <v>5981700</v>
      </c>
      <c r="G686" s="76">
        <v>1</v>
      </c>
      <c r="H686" s="68">
        <f t="shared" si="87"/>
        <v>5981700</v>
      </c>
      <c r="I686" s="30">
        <v>5981700</v>
      </c>
      <c r="J686" s="116"/>
      <c r="K686" s="116"/>
      <c r="L686" s="116">
        <v>3290879</v>
      </c>
      <c r="M686" s="116">
        <f>860036+1603380.33</f>
        <v>2463416.33</v>
      </c>
      <c r="N686" s="116">
        <f>506858-279453.33</f>
        <v>227404.66999999998</v>
      </c>
      <c r="O686" s="116">
        <f>600000-600000</f>
        <v>0</v>
      </c>
      <c r="P686" s="116">
        <f>600000-600000</f>
        <v>0</v>
      </c>
      <c r="Q686" s="116">
        <f>123927-123927</f>
        <v>0</v>
      </c>
      <c r="R686" s="116"/>
      <c r="S686" s="116"/>
      <c r="T686" s="116"/>
      <c r="U686" s="116"/>
      <c r="V686" s="17">
        <f t="shared" si="89"/>
        <v>-5.820766091346741E-11</v>
      </c>
      <c r="W686" s="17">
        <f>2873000+2837862.43-2308122.56</f>
        <v>3402739.8699999996</v>
      </c>
    </row>
    <row r="687" spans="1:23" ht="56.25">
      <c r="A687" s="134"/>
      <c r="B687" s="134"/>
      <c r="C687" s="134"/>
      <c r="D687" s="146"/>
      <c r="E687" s="44" t="s">
        <v>548</v>
      </c>
      <c r="F687" s="68">
        <f t="shared" si="88"/>
        <v>935000</v>
      </c>
      <c r="G687" s="76">
        <v>1</v>
      </c>
      <c r="H687" s="68">
        <f t="shared" si="87"/>
        <v>935000</v>
      </c>
      <c r="I687" s="30">
        <v>935000</v>
      </c>
      <c r="J687" s="116"/>
      <c r="K687" s="116"/>
      <c r="L687" s="116">
        <v>47500</v>
      </c>
      <c r="M687" s="116"/>
      <c r="N687" s="116"/>
      <c r="O687" s="116"/>
      <c r="P687" s="116">
        <v>466750</v>
      </c>
      <c r="Q687" s="116"/>
      <c r="R687" s="116">
        <v>420750</v>
      </c>
      <c r="S687" s="116"/>
      <c r="T687" s="116"/>
      <c r="U687" s="116"/>
      <c r="V687" s="17">
        <f t="shared" si="89"/>
        <v>0</v>
      </c>
      <c r="W687" s="17"/>
    </row>
    <row r="688" spans="1:23" ht="56.25">
      <c r="A688" s="134"/>
      <c r="B688" s="134"/>
      <c r="C688" s="134"/>
      <c r="D688" s="146"/>
      <c r="E688" s="44" t="s">
        <v>498</v>
      </c>
      <c r="F688" s="68">
        <f t="shared" si="88"/>
        <v>1460000</v>
      </c>
      <c r="G688" s="76">
        <v>1</v>
      </c>
      <c r="H688" s="68">
        <f t="shared" si="87"/>
        <v>1460000</v>
      </c>
      <c r="I688" s="30">
        <v>1460000</v>
      </c>
      <c r="J688" s="116"/>
      <c r="K688" s="116"/>
      <c r="L688" s="116">
        <v>73000</v>
      </c>
      <c r="M688" s="116"/>
      <c r="N688" s="116"/>
      <c r="O688" s="116"/>
      <c r="P688" s="116">
        <v>730000</v>
      </c>
      <c r="Q688" s="116"/>
      <c r="R688" s="116">
        <v>657000</v>
      </c>
      <c r="S688" s="116"/>
      <c r="T688" s="116"/>
      <c r="U688" s="116"/>
      <c r="V688" s="17">
        <f t="shared" si="89"/>
        <v>0</v>
      </c>
      <c r="W688" s="17">
        <f>29000+21000</f>
        <v>50000</v>
      </c>
    </row>
    <row r="689" spans="1:23" ht="56.25">
      <c r="A689" s="134"/>
      <c r="B689" s="134"/>
      <c r="C689" s="134"/>
      <c r="D689" s="146"/>
      <c r="E689" s="44" t="s">
        <v>552</v>
      </c>
      <c r="F689" s="68">
        <f t="shared" si="88"/>
        <v>1534000</v>
      </c>
      <c r="G689" s="76">
        <v>1</v>
      </c>
      <c r="H689" s="68">
        <f t="shared" si="87"/>
        <v>1534000</v>
      </c>
      <c r="I689" s="30">
        <v>1534000</v>
      </c>
      <c r="J689" s="116"/>
      <c r="K689" s="116"/>
      <c r="L689" s="116">
        <f>72400+67600</f>
        <v>140000</v>
      </c>
      <c r="M689" s="116"/>
      <c r="N689" s="116"/>
      <c r="O689" s="116"/>
      <c r="P689" s="116">
        <f>771300-67600</f>
        <v>703700</v>
      </c>
      <c r="Q689" s="116"/>
      <c r="R689" s="116">
        <v>690300</v>
      </c>
      <c r="S689" s="116"/>
      <c r="T689" s="116"/>
      <c r="U689" s="116"/>
      <c r="V689" s="17">
        <f t="shared" si="89"/>
        <v>0</v>
      </c>
      <c r="W689" s="17">
        <f>81000+59000</f>
        <v>140000</v>
      </c>
    </row>
    <row r="690" spans="1:23" ht="42" customHeight="1">
      <c r="A690" s="134"/>
      <c r="B690" s="134"/>
      <c r="C690" s="134"/>
      <c r="D690" s="146"/>
      <c r="E690" s="44" t="s">
        <v>489</v>
      </c>
      <c r="F690" s="68">
        <f t="shared" si="88"/>
        <v>11585000</v>
      </c>
      <c r="G690" s="76">
        <v>1</v>
      </c>
      <c r="H690" s="68">
        <f t="shared" si="87"/>
        <v>11585000</v>
      </c>
      <c r="I690" s="30">
        <f>12352000-767000</f>
        <v>11585000</v>
      </c>
      <c r="J690" s="116"/>
      <c r="K690" s="116"/>
      <c r="L690" s="116">
        <f>4423300-3920000+3920000-105000-1100000-313600</f>
        <v>2904700</v>
      </c>
      <c r="M690" s="116">
        <v>-1363380.33</v>
      </c>
      <c r="N690" s="116">
        <f>279453.33+2552462</f>
        <v>2831915.33</v>
      </c>
      <c r="O690" s="116">
        <f>600000-600000</f>
        <v>0</v>
      </c>
      <c r="P690" s="116">
        <f>419862+105000+67600+360000-952462</f>
        <v>0</v>
      </c>
      <c r="Q690" s="116">
        <f>2618790+1100000+123927-1000000</f>
        <v>2842717</v>
      </c>
      <c r="R690" s="116">
        <v>199004</v>
      </c>
      <c r="S690" s="116">
        <f>28348+246000</f>
        <v>274348</v>
      </c>
      <c r="T690" s="116">
        <f>1472356+3920000-3920000</f>
        <v>1472356</v>
      </c>
      <c r="U690" s="116">
        <v>2423340</v>
      </c>
      <c r="V690" s="17">
        <f t="shared" si="89"/>
        <v>0</v>
      </c>
      <c r="W690" s="17">
        <f>159000+364000+191373.72+137000+127000+2799619.35+230144.75+309727.82</f>
        <v>4317865.640000001</v>
      </c>
    </row>
    <row r="691" spans="1:23" ht="37.5">
      <c r="A691" s="134"/>
      <c r="B691" s="134"/>
      <c r="C691" s="134"/>
      <c r="D691" s="146"/>
      <c r="E691" s="44" t="s">
        <v>406</v>
      </c>
      <c r="F691" s="68">
        <f t="shared" si="88"/>
        <v>3200000</v>
      </c>
      <c r="G691" s="76">
        <v>1</v>
      </c>
      <c r="H691" s="68">
        <f t="shared" si="87"/>
        <v>3200000</v>
      </c>
      <c r="I691" s="30">
        <f>700000+2500000</f>
        <v>3200000</v>
      </c>
      <c r="J691" s="116"/>
      <c r="K691" s="116"/>
      <c r="L691" s="116">
        <v>1700000</v>
      </c>
      <c r="M691" s="116">
        <f>400000-1000000</f>
        <v>-600000</v>
      </c>
      <c r="N691" s="116">
        <f>350000+990000</f>
        <v>1340000</v>
      </c>
      <c r="O691" s="116">
        <f>400000-400000</f>
        <v>0</v>
      </c>
      <c r="P691" s="116">
        <f>350000+240000-590000</f>
        <v>0</v>
      </c>
      <c r="Q691" s="116"/>
      <c r="R691" s="116">
        <v>760000</v>
      </c>
      <c r="S691" s="116"/>
      <c r="T691" s="116"/>
      <c r="U691" s="116"/>
      <c r="V691" s="17">
        <f t="shared" si="89"/>
        <v>0</v>
      </c>
      <c r="W691" s="17">
        <f>178841+107000+461139+64000+76646.85+89000</f>
        <v>976626.85</v>
      </c>
    </row>
    <row r="692" spans="1:23" ht="42" customHeight="1">
      <c r="A692" s="134"/>
      <c r="B692" s="134"/>
      <c r="C692" s="134"/>
      <c r="D692" s="146"/>
      <c r="E692" s="44" t="s">
        <v>708</v>
      </c>
      <c r="F692" s="68">
        <f t="shared" si="88"/>
        <v>33000</v>
      </c>
      <c r="G692" s="76">
        <v>1</v>
      </c>
      <c r="H692" s="68">
        <f t="shared" si="87"/>
        <v>33000</v>
      </c>
      <c r="I692" s="30">
        <v>33000</v>
      </c>
      <c r="J692" s="116"/>
      <c r="K692" s="116"/>
      <c r="L692" s="116">
        <v>33000</v>
      </c>
      <c r="M692" s="116"/>
      <c r="N692" s="116"/>
      <c r="O692" s="116"/>
      <c r="P692" s="116"/>
      <c r="Q692" s="116"/>
      <c r="R692" s="116"/>
      <c r="S692" s="116"/>
      <c r="T692" s="116"/>
      <c r="U692" s="116"/>
      <c r="V692" s="17">
        <f t="shared" si="89"/>
        <v>0</v>
      </c>
      <c r="W692" s="17"/>
    </row>
    <row r="693" spans="1:23" ht="75">
      <c r="A693" s="134"/>
      <c r="B693" s="134"/>
      <c r="C693" s="134"/>
      <c r="D693" s="146"/>
      <c r="E693" s="44" t="s">
        <v>1123</v>
      </c>
      <c r="F693" s="68">
        <f t="shared" si="88"/>
        <v>117000</v>
      </c>
      <c r="G693" s="76"/>
      <c r="H693" s="68">
        <f t="shared" si="87"/>
        <v>117000</v>
      </c>
      <c r="I693" s="30">
        <v>117000</v>
      </c>
      <c r="J693" s="116"/>
      <c r="K693" s="116"/>
      <c r="L693" s="116"/>
      <c r="M693" s="116"/>
      <c r="N693" s="116"/>
      <c r="O693" s="116">
        <v>117000</v>
      </c>
      <c r="P693" s="116"/>
      <c r="Q693" s="116"/>
      <c r="R693" s="116"/>
      <c r="S693" s="116"/>
      <c r="T693" s="116"/>
      <c r="U693" s="116"/>
      <c r="V693" s="17">
        <f>I693-J693-K693-L693-M693-N693-O693-P693-Q693-R693-S693-T693-U693</f>
        <v>0</v>
      </c>
      <c r="W693" s="17"/>
    </row>
    <row r="694" spans="1:23" ht="56.25">
      <c r="A694" s="134"/>
      <c r="B694" s="134"/>
      <c r="C694" s="134"/>
      <c r="D694" s="146"/>
      <c r="E694" s="44" t="s">
        <v>1124</v>
      </c>
      <c r="F694" s="68">
        <f t="shared" si="88"/>
        <v>116000</v>
      </c>
      <c r="G694" s="76"/>
      <c r="H694" s="68">
        <f t="shared" si="87"/>
        <v>116000</v>
      </c>
      <c r="I694" s="30">
        <v>116000</v>
      </c>
      <c r="J694" s="116"/>
      <c r="K694" s="116"/>
      <c r="L694" s="116"/>
      <c r="M694" s="116"/>
      <c r="N694" s="116"/>
      <c r="O694" s="116">
        <v>116000</v>
      </c>
      <c r="P694" s="116"/>
      <c r="Q694" s="116"/>
      <c r="R694" s="116"/>
      <c r="S694" s="116"/>
      <c r="T694" s="116"/>
      <c r="U694" s="116"/>
      <c r="V694" s="17">
        <f>I694-J694-K694-L694-M694-N694-O694-P694-Q694-R694-S694-T694-U694</f>
        <v>0</v>
      </c>
      <c r="W694" s="17"/>
    </row>
    <row r="695" spans="1:23" ht="60" customHeight="1">
      <c r="A695" s="134"/>
      <c r="B695" s="134"/>
      <c r="C695" s="134"/>
      <c r="D695" s="146"/>
      <c r="E695" s="44" t="s">
        <v>657</v>
      </c>
      <c r="F695" s="68">
        <f t="shared" si="88"/>
        <v>116000</v>
      </c>
      <c r="G695" s="76">
        <v>1</v>
      </c>
      <c r="H695" s="68">
        <f t="shared" si="87"/>
        <v>116000</v>
      </c>
      <c r="I695" s="30">
        <v>116000</v>
      </c>
      <c r="J695" s="116"/>
      <c r="K695" s="116"/>
      <c r="L695" s="116"/>
      <c r="M695" s="116"/>
      <c r="N695" s="116"/>
      <c r="O695" s="116"/>
      <c r="P695" s="116"/>
      <c r="Q695" s="116"/>
      <c r="R695" s="116">
        <v>116000</v>
      </c>
      <c r="S695" s="116"/>
      <c r="T695" s="116"/>
      <c r="U695" s="116"/>
      <c r="V695" s="17">
        <f t="shared" si="89"/>
        <v>0</v>
      </c>
      <c r="W695" s="17"/>
    </row>
    <row r="696" spans="1:23" ht="36" hidden="1">
      <c r="A696" s="134"/>
      <c r="B696" s="134"/>
      <c r="C696" s="134"/>
      <c r="D696" s="146"/>
      <c r="E696" s="44" t="s">
        <v>713</v>
      </c>
      <c r="F696" s="68">
        <f>I696</f>
        <v>0</v>
      </c>
      <c r="G696" s="76">
        <v>1</v>
      </c>
      <c r="H696" s="68">
        <f>I696</f>
        <v>0</v>
      </c>
      <c r="I696" s="30">
        <f>750000-750000</f>
        <v>0</v>
      </c>
      <c r="J696" s="116"/>
      <c r="K696" s="116"/>
      <c r="L696" s="116"/>
      <c r="M696" s="116"/>
      <c r="N696" s="116"/>
      <c r="O696" s="116">
        <f>750000-350000-400000</f>
        <v>0</v>
      </c>
      <c r="P696" s="116"/>
      <c r="Q696" s="116"/>
      <c r="R696" s="116">
        <f>750000-750000</f>
        <v>0</v>
      </c>
      <c r="S696" s="116"/>
      <c r="T696" s="116"/>
      <c r="U696" s="116">
        <f>350000-350000</f>
        <v>0</v>
      </c>
      <c r="V696" s="17">
        <f t="shared" si="89"/>
        <v>0</v>
      </c>
      <c r="W696" s="17"/>
    </row>
    <row r="697" spans="1:23" ht="56.25">
      <c r="A697" s="134"/>
      <c r="B697" s="134"/>
      <c r="C697" s="134"/>
      <c r="D697" s="146"/>
      <c r="E697" s="44" t="s">
        <v>872</v>
      </c>
      <c r="F697" s="68"/>
      <c r="G697" s="76"/>
      <c r="H697" s="68"/>
      <c r="I697" s="30">
        <v>446000</v>
      </c>
      <c r="J697" s="116"/>
      <c r="K697" s="116"/>
      <c r="L697" s="116"/>
      <c r="M697" s="116"/>
      <c r="N697" s="116"/>
      <c r="O697" s="116">
        <f>446000</f>
        <v>446000</v>
      </c>
      <c r="P697" s="116"/>
      <c r="Q697" s="116"/>
      <c r="R697" s="116"/>
      <c r="S697" s="116"/>
      <c r="T697" s="116">
        <f>100000-100000</f>
        <v>0</v>
      </c>
      <c r="U697" s="116">
        <f>346000-346000</f>
        <v>0</v>
      </c>
      <c r="V697" s="17">
        <f>I697-J697-K697-L697-M697-N697-O697-P697-Q697-R697-S697-T697-U697</f>
        <v>0</v>
      </c>
      <c r="W697" s="17"/>
    </row>
    <row r="698" spans="1:23" ht="56.25">
      <c r="A698" s="134"/>
      <c r="B698" s="134"/>
      <c r="C698" s="134"/>
      <c r="D698" s="146"/>
      <c r="E698" s="44" t="s">
        <v>878</v>
      </c>
      <c r="F698" s="68">
        <f>I698</f>
        <v>1440000</v>
      </c>
      <c r="G698" s="76">
        <v>1</v>
      </c>
      <c r="H698" s="68">
        <f>I698</f>
        <v>1440000</v>
      </c>
      <c r="I698" s="30">
        <v>1440000</v>
      </c>
      <c r="J698" s="116"/>
      <c r="K698" s="116"/>
      <c r="L698" s="116"/>
      <c r="M698" s="116"/>
      <c r="N698" s="116"/>
      <c r="O698" s="116">
        <f>1440000-400000</f>
        <v>1040000</v>
      </c>
      <c r="P698" s="116">
        <f>144000-144000</f>
        <v>0</v>
      </c>
      <c r="Q698" s="116">
        <f>1008000-1008000</f>
        <v>0</v>
      </c>
      <c r="R698" s="116"/>
      <c r="S698" s="116">
        <f>288000-288000</f>
        <v>0</v>
      </c>
      <c r="T698" s="116"/>
      <c r="U698" s="116">
        <v>400000</v>
      </c>
      <c r="V698" s="17">
        <f>I698-J698-K698-L698-M698-N698-O698-P698-Q698-R698-S698-T698-U698</f>
        <v>0</v>
      </c>
      <c r="W698" s="17">
        <f>62229.22</f>
        <v>62229.22</v>
      </c>
    </row>
    <row r="699" spans="1:23" ht="18.75">
      <c r="A699" s="134"/>
      <c r="B699" s="134"/>
      <c r="C699" s="134"/>
      <c r="D699" s="146"/>
      <c r="E699" s="44" t="s">
        <v>709</v>
      </c>
      <c r="F699" s="68">
        <f t="shared" si="88"/>
        <v>722000</v>
      </c>
      <c r="G699" s="76">
        <v>1</v>
      </c>
      <c r="H699" s="68">
        <f t="shared" si="87"/>
        <v>722000</v>
      </c>
      <c r="I699" s="30">
        <v>722000</v>
      </c>
      <c r="J699" s="116"/>
      <c r="K699" s="116"/>
      <c r="L699" s="116">
        <f>361000+105000</f>
        <v>466000</v>
      </c>
      <c r="M699" s="116"/>
      <c r="N699" s="116"/>
      <c r="O699" s="116">
        <v>26500</v>
      </c>
      <c r="P699" s="116">
        <f>334500-105000</f>
        <v>229500</v>
      </c>
      <c r="Q699" s="116"/>
      <c r="R699" s="116"/>
      <c r="S699" s="116"/>
      <c r="T699" s="116"/>
      <c r="U699" s="116"/>
      <c r="V699" s="17">
        <f t="shared" si="89"/>
        <v>0</v>
      </c>
      <c r="W699" s="17">
        <f>283637+170080</f>
        <v>453717</v>
      </c>
    </row>
    <row r="700" spans="1:23" ht="56.25">
      <c r="A700" s="134"/>
      <c r="B700" s="134"/>
      <c r="C700" s="134"/>
      <c r="D700" s="146"/>
      <c r="E700" s="44" t="s">
        <v>710</v>
      </c>
      <c r="F700" s="68">
        <f t="shared" si="88"/>
        <v>72500</v>
      </c>
      <c r="G700" s="76">
        <v>1</v>
      </c>
      <c r="H700" s="68">
        <f t="shared" si="87"/>
        <v>72500</v>
      </c>
      <c r="I700" s="30">
        <v>72500</v>
      </c>
      <c r="J700" s="116"/>
      <c r="K700" s="116"/>
      <c r="L700" s="116">
        <v>72500</v>
      </c>
      <c r="M700" s="116"/>
      <c r="N700" s="116"/>
      <c r="O700" s="116"/>
      <c r="P700" s="116"/>
      <c r="Q700" s="116"/>
      <c r="R700" s="116"/>
      <c r="S700" s="116"/>
      <c r="T700" s="116"/>
      <c r="U700" s="116"/>
      <c r="V700" s="17">
        <f t="shared" si="89"/>
        <v>0</v>
      </c>
      <c r="W700" s="17"/>
    </row>
    <row r="701" spans="1:23" ht="60" customHeight="1">
      <c r="A701" s="134"/>
      <c r="B701" s="133"/>
      <c r="C701" s="134"/>
      <c r="D701" s="146"/>
      <c r="E701" s="44" t="s">
        <v>714</v>
      </c>
      <c r="F701" s="68">
        <f t="shared" si="88"/>
        <v>714000</v>
      </c>
      <c r="G701" s="76">
        <v>1</v>
      </c>
      <c r="H701" s="68">
        <f t="shared" si="87"/>
        <v>714000</v>
      </c>
      <c r="I701" s="30">
        <f>357000+357000</f>
        <v>714000</v>
      </c>
      <c r="J701" s="116"/>
      <c r="K701" s="116"/>
      <c r="L701" s="116"/>
      <c r="M701" s="116">
        <v>35700</v>
      </c>
      <c r="N701" s="116"/>
      <c r="O701" s="116">
        <f>678300-350000</f>
        <v>328300</v>
      </c>
      <c r="P701" s="116"/>
      <c r="Q701" s="116"/>
      <c r="R701" s="116">
        <f>357000-357000</f>
        <v>0</v>
      </c>
      <c r="S701" s="116">
        <f>249900-249900</f>
        <v>0</v>
      </c>
      <c r="T701" s="116"/>
      <c r="U701" s="116">
        <f>71400-71400+350000</f>
        <v>350000</v>
      </c>
      <c r="V701" s="17">
        <f t="shared" si="89"/>
        <v>0</v>
      </c>
      <c r="W701" s="17"/>
    </row>
    <row r="702" spans="1:23" ht="18.75">
      <c r="A702" s="147" t="s">
        <v>982</v>
      </c>
      <c r="B702" s="132" t="s">
        <v>270</v>
      </c>
      <c r="C702" s="147" t="s">
        <v>480</v>
      </c>
      <c r="D702" s="148" t="s">
        <v>983</v>
      </c>
      <c r="E702" s="44"/>
      <c r="F702" s="44"/>
      <c r="G702" s="44"/>
      <c r="H702" s="44"/>
      <c r="I702" s="35">
        <f aca="true" t="shared" si="90" ref="I702:W702">I790+I844+I866+I798+I706+I709+I829+I703+I848+I743+I851</f>
        <v>84996528.08</v>
      </c>
      <c r="J702" s="35">
        <f t="shared" si="90"/>
        <v>0</v>
      </c>
      <c r="K702" s="35">
        <f t="shared" si="90"/>
        <v>1519997</v>
      </c>
      <c r="L702" s="35">
        <f t="shared" si="90"/>
        <v>12045001</v>
      </c>
      <c r="M702" s="35">
        <f t="shared" si="90"/>
        <v>11622816</v>
      </c>
      <c r="N702" s="35">
        <f t="shared" si="90"/>
        <v>-4134889</v>
      </c>
      <c r="O702" s="35">
        <f t="shared" si="90"/>
        <v>5891870</v>
      </c>
      <c r="P702" s="35">
        <f t="shared" si="90"/>
        <v>10765521.600000001</v>
      </c>
      <c r="Q702" s="35">
        <f t="shared" si="90"/>
        <v>5168122</v>
      </c>
      <c r="R702" s="35">
        <f t="shared" si="90"/>
        <v>5771600</v>
      </c>
      <c r="S702" s="35">
        <f t="shared" si="90"/>
        <v>4989000</v>
      </c>
      <c r="T702" s="35">
        <f t="shared" si="90"/>
        <v>12267958</v>
      </c>
      <c r="U702" s="35">
        <f t="shared" si="90"/>
        <v>19089531.48</v>
      </c>
      <c r="V702" s="35">
        <f t="shared" si="90"/>
        <v>-9.38598532229662E-10</v>
      </c>
      <c r="W702" s="35">
        <f t="shared" si="90"/>
        <v>24187540.060000002</v>
      </c>
    </row>
    <row r="703" spans="1:23" ht="42" customHeight="1">
      <c r="A703" s="147"/>
      <c r="B703" s="134"/>
      <c r="C703" s="147"/>
      <c r="D703" s="148"/>
      <c r="E703" s="46" t="s">
        <v>463</v>
      </c>
      <c r="F703" s="46"/>
      <c r="G703" s="46"/>
      <c r="H703" s="46"/>
      <c r="I703" s="47">
        <f>SUM(I704:I705)</f>
        <v>6037000</v>
      </c>
      <c r="J703" s="47">
        <f aca="true" t="shared" si="91" ref="J703:U703">SUM(J704:J705)</f>
        <v>0</v>
      </c>
      <c r="K703" s="47">
        <f t="shared" si="91"/>
        <v>0</v>
      </c>
      <c r="L703" s="47">
        <f t="shared" si="91"/>
        <v>200000</v>
      </c>
      <c r="M703" s="47">
        <f t="shared" si="91"/>
        <v>2963100</v>
      </c>
      <c r="N703" s="47">
        <f t="shared" si="91"/>
        <v>-2850411.03</v>
      </c>
      <c r="O703" s="47">
        <f t="shared" si="91"/>
        <v>180000</v>
      </c>
      <c r="P703" s="47">
        <f t="shared" si="91"/>
        <v>1632949.03</v>
      </c>
      <c r="Q703" s="47">
        <f t="shared" si="91"/>
        <v>0</v>
      </c>
      <c r="R703" s="47">
        <f t="shared" si="91"/>
        <v>536900</v>
      </c>
      <c r="S703" s="47">
        <f t="shared" si="91"/>
        <v>2965000</v>
      </c>
      <c r="T703" s="47">
        <f t="shared" si="91"/>
        <v>0</v>
      </c>
      <c r="U703" s="47">
        <f t="shared" si="91"/>
        <v>409462</v>
      </c>
      <c r="V703" s="47">
        <f>SUM(V704:V705)</f>
        <v>-9.313225746154785E-10</v>
      </c>
      <c r="W703" s="47">
        <f>SUM(W704:W705)</f>
        <v>0</v>
      </c>
    </row>
    <row r="704" spans="1:23" ht="75">
      <c r="A704" s="147"/>
      <c r="B704" s="134"/>
      <c r="C704" s="147"/>
      <c r="D704" s="148"/>
      <c r="E704" s="44" t="s">
        <v>593</v>
      </c>
      <c r="F704" s="44"/>
      <c r="G704" s="44"/>
      <c r="H704" s="44"/>
      <c r="I704" s="30">
        <f>2000000+3500000</f>
        <v>5500000</v>
      </c>
      <c r="J704" s="116"/>
      <c r="K704" s="116"/>
      <c r="L704" s="116">
        <v>200000</v>
      </c>
      <c r="M704" s="116">
        <v>2663100</v>
      </c>
      <c r="N704" s="116">
        <f>-2709462-140949.03</f>
        <v>-2850411.03</v>
      </c>
      <c r="O704" s="116">
        <v>180000</v>
      </c>
      <c r="P704" s="116">
        <f>1100000+155000+140949.03</f>
        <v>1395949.03</v>
      </c>
      <c r="Q704" s="116"/>
      <c r="R704" s="116">
        <v>536900</v>
      </c>
      <c r="S704" s="116">
        <f>1000000+1965000</f>
        <v>2965000</v>
      </c>
      <c r="T704" s="116"/>
      <c r="U704" s="116">
        <v>409462</v>
      </c>
      <c r="V704" s="17">
        <f t="shared" si="89"/>
        <v>-9.313225746154785E-10</v>
      </c>
      <c r="W704" s="17"/>
    </row>
    <row r="705" spans="1:23" ht="63" customHeight="1">
      <c r="A705" s="147"/>
      <c r="B705" s="134"/>
      <c r="C705" s="147"/>
      <c r="D705" s="148"/>
      <c r="E705" s="44" t="s">
        <v>438</v>
      </c>
      <c r="F705" s="44"/>
      <c r="G705" s="44"/>
      <c r="H705" s="44"/>
      <c r="I705" s="30">
        <v>537000</v>
      </c>
      <c r="J705" s="116"/>
      <c r="K705" s="116"/>
      <c r="L705" s="116"/>
      <c r="M705" s="116">
        <v>300000</v>
      </c>
      <c r="N705" s="116"/>
      <c r="O705" s="116"/>
      <c r="P705" s="116">
        <v>237000</v>
      </c>
      <c r="Q705" s="116"/>
      <c r="R705" s="116"/>
      <c r="S705" s="116"/>
      <c r="T705" s="116"/>
      <c r="U705" s="116"/>
      <c r="V705" s="17">
        <f t="shared" si="89"/>
        <v>0</v>
      </c>
      <c r="W705" s="17"/>
    </row>
    <row r="706" spans="1:23" ht="37.5" customHeight="1" hidden="1">
      <c r="A706" s="147"/>
      <c r="B706" s="134"/>
      <c r="C706" s="147"/>
      <c r="D706" s="148"/>
      <c r="E706" s="46" t="s">
        <v>391</v>
      </c>
      <c r="F706" s="46"/>
      <c r="G706" s="46"/>
      <c r="H706" s="46"/>
      <c r="I706" s="35">
        <f>SUM(I707:I708)</f>
        <v>0</v>
      </c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18.75" customHeight="1" hidden="1">
      <c r="A707" s="147"/>
      <c r="B707" s="134"/>
      <c r="C707" s="147"/>
      <c r="D707" s="148"/>
      <c r="E707" s="16"/>
      <c r="F707" s="16"/>
      <c r="G707" s="16"/>
      <c r="H707" s="16"/>
      <c r="I707" s="24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18.75" customHeight="1" hidden="1">
      <c r="A708" s="147"/>
      <c r="B708" s="134"/>
      <c r="C708" s="147"/>
      <c r="D708" s="148"/>
      <c r="E708" s="48"/>
      <c r="F708" s="48"/>
      <c r="G708" s="48"/>
      <c r="H708" s="48"/>
      <c r="I708" s="24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47"/>
      <c r="B709" s="134"/>
      <c r="C709" s="147"/>
      <c r="D709" s="148"/>
      <c r="E709" s="49" t="s">
        <v>392</v>
      </c>
      <c r="F709" s="49"/>
      <c r="G709" s="49"/>
      <c r="H709" s="49"/>
      <c r="I709" s="50">
        <f>SUM(I710:I742)</f>
        <v>4087385</v>
      </c>
      <c r="J709" s="50">
        <f aca="true" t="shared" si="92" ref="J709:W709">SUM(J710:J742)</f>
        <v>0</v>
      </c>
      <c r="K709" s="50">
        <f t="shared" si="92"/>
        <v>49997</v>
      </c>
      <c r="L709" s="50">
        <f t="shared" si="92"/>
        <v>140480</v>
      </c>
      <c r="M709" s="50">
        <f t="shared" si="92"/>
        <v>749764</v>
      </c>
      <c r="N709" s="50">
        <f t="shared" si="92"/>
        <v>-820244</v>
      </c>
      <c r="O709" s="50">
        <f t="shared" si="92"/>
        <v>0</v>
      </c>
      <c r="P709" s="50">
        <f t="shared" si="92"/>
        <v>1707888</v>
      </c>
      <c r="Q709" s="50">
        <f t="shared" si="92"/>
        <v>1184256</v>
      </c>
      <c r="R709" s="50">
        <f t="shared" si="92"/>
        <v>0</v>
      </c>
      <c r="S709" s="50">
        <f t="shared" si="92"/>
        <v>16000</v>
      </c>
      <c r="T709" s="50">
        <f t="shared" si="92"/>
        <v>969244</v>
      </c>
      <c r="U709" s="50">
        <f t="shared" si="92"/>
        <v>90000</v>
      </c>
      <c r="V709" s="50">
        <f t="shared" si="92"/>
        <v>0</v>
      </c>
      <c r="W709" s="50">
        <f t="shared" si="92"/>
        <v>0</v>
      </c>
    </row>
    <row r="710" spans="1:23" ht="176.25" customHeight="1">
      <c r="A710" s="147"/>
      <c r="B710" s="134"/>
      <c r="C710" s="147"/>
      <c r="D710" s="148"/>
      <c r="E710" s="51" t="s">
        <v>484</v>
      </c>
      <c r="F710" s="51"/>
      <c r="G710" s="51"/>
      <c r="H710" s="51"/>
      <c r="I710" s="24">
        <v>49997</v>
      </c>
      <c r="J710" s="116"/>
      <c r="K710" s="116">
        <v>49997</v>
      </c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  <c r="V710" s="17">
        <f t="shared" si="89"/>
        <v>0</v>
      </c>
      <c r="W710" s="17"/>
    </row>
    <row r="711" spans="1:23" ht="93.75">
      <c r="A711" s="147"/>
      <c r="B711" s="134"/>
      <c r="C711" s="147"/>
      <c r="D711" s="148"/>
      <c r="E711" s="51" t="s">
        <v>912</v>
      </c>
      <c r="F711" s="51"/>
      <c r="G711" s="51"/>
      <c r="H711" s="51"/>
      <c r="I711" s="24">
        <v>9588</v>
      </c>
      <c r="J711" s="116"/>
      <c r="K711" s="116"/>
      <c r="L711" s="116"/>
      <c r="M711" s="116">
        <v>5000</v>
      </c>
      <c r="N711" s="116"/>
      <c r="O711" s="116"/>
      <c r="P711" s="116"/>
      <c r="Q711" s="116">
        <v>4588</v>
      </c>
      <c r="R711" s="116"/>
      <c r="S711" s="116"/>
      <c r="T711" s="116"/>
      <c r="U711" s="116"/>
      <c r="V711" s="17">
        <f>I711-J711-K711-L711-M711-N711-O711-P711-Q711-R711-S711-T711-U711</f>
        <v>0</v>
      </c>
      <c r="W711" s="17"/>
    </row>
    <row r="712" spans="1:23" ht="43.5" customHeight="1">
      <c r="A712" s="147"/>
      <c r="B712" s="134"/>
      <c r="C712" s="147"/>
      <c r="D712" s="148"/>
      <c r="E712" s="51" t="s">
        <v>393</v>
      </c>
      <c r="F712" s="51"/>
      <c r="G712" s="51"/>
      <c r="H712" s="51"/>
      <c r="I712" s="24">
        <v>50000</v>
      </c>
      <c r="J712" s="116"/>
      <c r="K712" s="116"/>
      <c r="L712" s="116"/>
      <c r="M712" s="116"/>
      <c r="N712" s="116"/>
      <c r="O712" s="116"/>
      <c r="P712" s="116"/>
      <c r="Q712" s="116">
        <v>50000</v>
      </c>
      <c r="R712" s="116"/>
      <c r="S712" s="116"/>
      <c r="T712" s="116"/>
      <c r="U712" s="116"/>
      <c r="V712" s="17">
        <f t="shared" si="89"/>
        <v>0</v>
      </c>
      <c r="W712" s="17"/>
    </row>
    <row r="713" spans="1:23" ht="56.25">
      <c r="A713" s="147"/>
      <c r="B713" s="134"/>
      <c r="C713" s="147"/>
      <c r="D713" s="148"/>
      <c r="E713" s="51" t="s">
        <v>977</v>
      </c>
      <c r="F713" s="51"/>
      <c r="G713" s="51"/>
      <c r="H713" s="51"/>
      <c r="I713" s="24">
        <v>200000</v>
      </c>
      <c r="J713" s="116"/>
      <c r="K713" s="116"/>
      <c r="L713" s="116"/>
      <c r="M713" s="116"/>
      <c r="N713" s="116"/>
      <c r="O713" s="116"/>
      <c r="P713" s="116"/>
      <c r="Q713" s="116"/>
      <c r="R713" s="116"/>
      <c r="S713" s="116">
        <v>16000</v>
      </c>
      <c r="T713" s="116">
        <v>94000</v>
      </c>
      <c r="U713" s="116">
        <v>90000</v>
      </c>
      <c r="V713" s="17">
        <f t="shared" si="89"/>
        <v>0</v>
      </c>
      <c r="W713" s="17"/>
    </row>
    <row r="714" spans="1:23" ht="36" hidden="1">
      <c r="A714" s="147"/>
      <c r="B714" s="134"/>
      <c r="C714" s="147"/>
      <c r="D714" s="148"/>
      <c r="E714" s="16" t="s">
        <v>346</v>
      </c>
      <c r="F714" s="16"/>
      <c r="G714" s="16"/>
      <c r="H714" s="16"/>
      <c r="I714" s="24">
        <f>360000-360000</f>
        <v>0</v>
      </c>
      <c r="J714" s="116"/>
      <c r="K714" s="116"/>
      <c r="L714" s="116">
        <v>14400</v>
      </c>
      <c r="M714" s="116">
        <f>14400-28800</f>
        <v>-14400</v>
      </c>
      <c r="N714" s="116"/>
      <c r="O714" s="116"/>
      <c r="P714" s="116">
        <f>165600-165600</f>
        <v>0</v>
      </c>
      <c r="Q714" s="116">
        <f>165600-165600</f>
        <v>0</v>
      </c>
      <c r="R714" s="116"/>
      <c r="S714" s="116"/>
      <c r="T714" s="116"/>
      <c r="U714" s="116"/>
      <c r="V714" s="17">
        <f>I714-J714-K714-L714-M714-N714-O714-P714-Q714-R714-S714-T714-U714</f>
        <v>0</v>
      </c>
      <c r="W714" s="17"/>
    </row>
    <row r="715" spans="1:23" ht="56.25">
      <c r="A715" s="147"/>
      <c r="B715" s="134"/>
      <c r="C715" s="147"/>
      <c r="D715" s="148"/>
      <c r="E715" s="16" t="s">
        <v>299</v>
      </c>
      <c r="F715" s="16"/>
      <c r="G715" s="16"/>
      <c r="H715" s="16"/>
      <c r="I715" s="24">
        <v>58000</v>
      </c>
      <c r="J715" s="116"/>
      <c r="K715" s="116"/>
      <c r="L715" s="116"/>
      <c r="M715" s="116">
        <v>31320</v>
      </c>
      <c r="N715" s="116">
        <v>-31320</v>
      </c>
      <c r="O715" s="116"/>
      <c r="P715" s="116">
        <v>26680</v>
      </c>
      <c r="Q715" s="116"/>
      <c r="R715" s="116"/>
      <c r="S715" s="116"/>
      <c r="T715" s="116">
        <v>31320</v>
      </c>
      <c r="U715" s="116"/>
      <c r="V715" s="17">
        <f>I715-J715-K715-L715-M715-N715-O715-P715-Q715-R715-S715-T715-U715</f>
        <v>0</v>
      </c>
      <c r="W715" s="17"/>
    </row>
    <row r="716" spans="1:23" ht="56.25">
      <c r="A716" s="147"/>
      <c r="B716" s="134"/>
      <c r="C716" s="147"/>
      <c r="D716" s="148"/>
      <c r="E716" s="16" t="s">
        <v>300</v>
      </c>
      <c r="F716" s="16"/>
      <c r="G716" s="16"/>
      <c r="H716" s="16"/>
      <c r="I716" s="24">
        <v>58000</v>
      </c>
      <c r="J716" s="116"/>
      <c r="K716" s="116"/>
      <c r="L716" s="116"/>
      <c r="M716" s="116">
        <v>31320</v>
      </c>
      <c r="N716" s="116">
        <v>-31320</v>
      </c>
      <c r="O716" s="116"/>
      <c r="P716" s="116">
        <v>26680</v>
      </c>
      <c r="Q716" s="116"/>
      <c r="R716" s="116"/>
      <c r="S716" s="116"/>
      <c r="T716" s="116">
        <v>31320</v>
      </c>
      <c r="U716" s="116"/>
      <c r="V716" s="17">
        <f>I716-J716-K716-L716-M716-N716-O716-P716-Q716-R716-S716-T716-U716</f>
        <v>0</v>
      </c>
      <c r="W716" s="17"/>
    </row>
    <row r="717" spans="1:23" ht="63" customHeight="1">
      <c r="A717" s="147"/>
      <c r="B717" s="134"/>
      <c r="C717" s="147"/>
      <c r="D717" s="148"/>
      <c r="E717" s="16" t="s">
        <v>347</v>
      </c>
      <c r="F717" s="16"/>
      <c r="G717" s="16"/>
      <c r="H717" s="16"/>
      <c r="I717" s="24">
        <f>116000-58000</f>
        <v>58000</v>
      </c>
      <c r="J717" s="116"/>
      <c r="K717" s="116"/>
      <c r="L717" s="116">
        <v>9280</v>
      </c>
      <c r="M717" s="116">
        <f>53360-31320</f>
        <v>22040</v>
      </c>
      <c r="N717" s="116">
        <v>-31320</v>
      </c>
      <c r="O717" s="116"/>
      <c r="P717" s="116">
        <f>53360-26680</f>
        <v>26680</v>
      </c>
      <c r="Q717" s="116"/>
      <c r="R717" s="116"/>
      <c r="S717" s="116"/>
      <c r="T717" s="116">
        <v>31320</v>
      </c>
      <c r="U717" s="116"/>
      <c r="V717" s="17">
        <f t="shared" si="89"/>
        <v>0</v>
      </c>
      <c r="W717" s="17"/>
    </row>
    <row r="718" spans="1:23" ht="60.75" customHeight="1">
      <c r="A718" s="147"/>
      <c r="B718" s="134"/>
      <c r="C718" s="147"/>
      <c r="D718" s="148"/>
      <c r="E718" s="16" t="s">
        <v>514</v>
      </c>
      <c r="F718" s="16"/>
      <c r="G718" s="16"/>
      <c r="H718" s="16"/>
      <c r="I718" s="24">
        <f>116000-58000</f>
        <v>58000</v>
      </c>
      <c r="J718" s="116"/>
      <c r="K718" s="116"/>
      <c r="L718" s="116">
        <v>9280</v>
      </c>
      <c r="M718" s="116">
        <f>53360-31320</f>
        <v>22040</v>
      </c>
      <c r="N718" s="116">
        <v>-31320</v>
      </c>
      <c r="O718" s="116"/>
      <c r="P718" s="116">
        <f>53360-26680</f>
        <v>26680</v>
      </c>
      <c r="Q718" s="116"/>
      <c r="R718" s="116"/>
      <c r="S718" s="116"/>
      <c r="T718" s="116">
        <v>31320</v>
      </c>
      <c r="U718" s="116"/>
      <c r="V718" s="17">
        <f t="shared" si="89"/>
        <v>0</v>
      </c>
      <c r="W718" s="17"/>
    </row>
    <row r="719" spans="1:23" ht="56.25">
      <c r="A719" s="147"/>
      <c r="B719" s="134"/>
      <c r="C719" s="147"/>
      <c r="D719" s="148"/>
      <c r="E719" s="16" t="s">
        <v>579</v>
      </c>
      <c r="F719" s="16"/>
      <c r="G719" s="16"/>
      <c r="H719" s="16"/>
      <c r="I719" s="24">
        <v>200000</v>
      </c>
      <c r="J719" s="116"/>
      <c r="K719" s="116"/>
      <c r="L719" s="116">
        <v>16000</v>
      </c>
      <c r="M719" s="116">
        <v>92000</v>
      </c>
      <c r="N719" s="116">
        <v>-108000</v>
      </c>
      <c r="O719" s="116"/>
      <c r="P719" s="116">
        <v>92000</v>
      </c>
      <c r="Q719" s="116"/>
      <c r="R719" s="116"/>
      <c r="S719" s="116"/>
      <c r="T719" s="116">
        <v>108000</v>
      </c>
      <c r="U719" s="116"/>
      <c r="V719" s="17">
        <f t="shared" si="89"/>
        <v>0</v>
      </c>
      <c r="W719" s="17"/>
    </row>
    <row r="720" spans="1:23" ht="56.25">
      <c r="A720" s="147"/>
      <c r="B720" s="134"/>
      <c r="C720" s="147"/>
      <c r="D720" s="148"/>
      <c r="E720" s="16" t="s">
        <v>580</v>
      </c>
      <c r="F720" s="16"/>
      <c r="G720" s="16"/>
      <c r="H720" s="16"/>
      <c r="I720" s="24">
        <v>200000</v>
      </c>
      <c r="J720" s="116"/>
      <c r="K720" s="116"/>
      <c r="L720" s="116">
        <v>16000</v>
      </c>
      <c r="M720" s="116">
        <v>92000</v>
      </c>
      <c r="N720" s="116">
        <v>-108000</v>
      </c>
      <c r="O720" s="116"/>
      <c r="P720" s="116">
        <v>92000</v>
      </c>
      <c r="Q720" s="116"/>
      <c r="R720" s="116"/>
      <c r="S720" s="116"/>
      <c r="T720" s="116">
        <v>108000</v>
      </c>
      <c r="U720" s="116"/>
      <c r="V720" s="17">
        <f t="shared" si="89"/>
        <v>0</v>
      </c>
      <c r="W720" s="17"/>
    </row>
    <row r="721" spans="1:23" ht="56.25">
      <c r="A721" s="147"/>
      <c r="B721" s="134"/>
      <c r="C721" s="147"/>
      <c r="D721" s="148"/>
      <c r="E721" s="16" t="s">
        <v>436</v>
      </c>
      <c r="F721" s="16"/>
      <c r="G721" s="16"/>
      <c r="H721" s="16"/>
      <c r="I721" s="24">
        <v>200000</v>
      </c>
      <c r="J721" s="116"/>
      <c r="K721" s="116"/>
      <c r="L721" s="116">
        <v>16000</v>
      </c>
      <c r="M721" s="116">
        <v>92000</v>
      </c>
      <c r="N721" s="116">
        <v>-108000</v>
      </c>
      <c r="O721" s="116"/>
      <c r="P721" s="116">
        <v>92000</v>
      </c>
      <c r="Q721" s="116"/>
      <c r="R721" s="116"/>
      <c r="S721" s="116"/>
      <c r="T721" s="116">
        <v>108000</v>
      </c>
      <c r="U721" s="116"/>
      <c r="V721" s="17">
        <f t="shared" si="89"/>
        <v>0</v>
      </c>
      <c r="W721" s="17"/>
    </row>
    <row r="722" spans="1:23" ht="75">
      <c r="A722" s="147"/>
      <c r="B722" s="134"/>
      <c r="C722" s="147"/>
      <c r="D722" s="148"/>
      <c r="E722" s="16" t="s">
        <v>441</v>
      </c>
      <c r="F722" s="16"/>
      <c r="G722" s="16"/>
      <c r="H722" s="16"/>
      <c r="I722" s="24">
        <v>193000</v>
      </c>
      <c r="J722" s="116"/>
      <c r="K722" s="116"/>
      <c r="L722" s="116">
        <v>15440</v>
      </c>
      <c r="M722" s="116">
        <v>88780</v>
      </c>
      <c r="N722" s="116">
        <v>-104220</v>
      </c>
      <c r="O722" s="116"/>
      <c r="P722" s="116">
        <v>88780</v>
      </c>
      <c r="Q722" s="116"/>
      <c r="R722" s="116"/>
      <c r="S722" s="116"/>
      <c r="T722" s="116">
        <v>104220</v>
      </c>
      <c r="U722" s="116"/>
      <c r="V722" s="17">
        <f t="shared" si="89"/>
        <v>0</v>
      </c>
      <c r="W722" s="17"/>
    </row>
    <row r="723" spans="1:23" ht="54" hidden="1">
      <c r="A723" s="147"/>
      <c r="B723" s="134"/>
      <c r="C723" s="147"/>
      <c r="D723" s="148"/>
      <c r="E723" s="16" t="s">
        <v>442</v>
      </c>
      <c r="F723" s="16"/>
      <c r="G723" s="16"/>
      <c r="H723" s="16"/>
      <c r="I723" s="24">
        <f>194000-194000</f>
        <v>0</v>
      </c>
      <c r="J723" s="116"/>
      <c r="K723" s="116"/>
      <c r="L723" s="116">
        <v>15520</v>
      </c>
      <c r="M723" s="116">
        <f>89240-104760</f>
        <v>-15520</v>
      </c>
      <c r="N723" s="116"/>
      <c r="O723" s="116"/>
      <c r="P723" s="116">
        <f>89240-89240</f>
        <v>0</v>
      </c>
      <c r="Q723" s="116"/>
      <c r="R723" s="116"/>
      <c r="S723" s="116"/>
      <c r="T723" s="116"/>
      <c r="U723" s="116"/>
      <c r="V723" s="17">
        <f t="shared" si="89"/>
        <v>0</v>
      </c>
      <c r="W723" s="17"/>
    </row>
    <row r="724" spans="1:23" ht="56.25">
      <c r="A724" s="147"/>
      <c r="B724" s="134"/>
      <c r="C724" s="147"/>
      <c r="D724" s="148"/>
      <c r="E724" s="16" t="s">
        <v>443</v>
      </c>
      <c r="F724" s="16"/>
      <c r="G724" s="16"/>
      <c r="H724" s="16"/>
      <c r="I724" s="24">
        <v>77000</v>
      </c>
      <c r="J724" s="116"/>
      <c r="K724" s="116"/>
      <c r="L724" s="116">
        <v>6160</v>
      </c>
      <c r="M724" s="116">
        <v>35420</v>
      </c>
      <c r="N724" s="116">
        <v>-41580</v>
      </c>
      <c r="O724" s="116"/>
      <c r="P724" s="116">
        <v>35420</v>
      </c>
      <c r="Q724" s="116"/>
      <c r="R724" s="116"/>
      <c r="S724" s="116"/>
      <c r="T724" s="116">
        <v>41580</v>
      </c>
      <c r="U724" s="116"/>
      <c r="V724" s="17">
        <f t="shared" si="89"/>
        <v>0</v>
      </c>
      <c r="W724" s="17"/>
    </row>
    <row r="725" spans="1:23" ht="56.25">
      <c r="A725" s="147"/>
      <c r="B725" s="134"/>
      <c r="C725" s="147"/>
      <c r="D725" s="148"/>
      <c r="E725" s="16" t="s">
        <v>444</v>
      </c>
      <c r="F725" s="16"/>
      <c r="G725" s="16"/>
      <c r="H725" s="16"/>
      <c r="I725" s="24">
        <v>77000</v>
      </c>
      <c r="J725" s="116"/>
      <c r="K725" s="116"/>
      <c r="L725" s="116">
        <v>6160</v>
      </c>
      <c r="M725" s="116">
        <v>35420</v>
      </c>
      <c r="N725" s="116">
        <v>-41580</v>
      </c>
      <c r="O725" s="116"/>
      <c r="P725" s="116">
        <v>35420</v>
      </c>
      <c r="Q725" s="116"/>
      <c r="R725" s="116"/>
      <c r="S725" s="116"/>
      <c r="T725" s="116">
        <v>41580</v>
      </c>
      <c r="U725" s="116"/>
      <c r="V725" s="17">
        <f t="shared" si="89"/>
        <v>0</v>
      </c>
      <c r="W725" s="17"/>
    </row>
    <row r="726" spans="1:23" ht="56.25">
      <c r="A726" s="147"/>
      <c r="B726" s="134"/>
      <c r="C726" s="147"/>
      <c r="D726" s="148"/>
      <c r="E726" s="16" t="s">
        <v>445</v>
      </c>
      <c r="F726" s="16"/>
      <c r="G726" s="16"/>
      <c r="H726" s="16"/>
      <c r="I726" s="24">
        <v>78000</v>
      </c>
      <c r="J726" s="116"/>
      <c r="K726" s="116"/>
      <c r="L726" s="116">
        <v>6240</v>
      </c>
      <c r="M726" s="116">
        <v>35880</v>
      </c>
      <c r="N726" s="116">
        <v>-42120</v>
      </c>
      <c r="O726" s="116"/>
      <c r="P726" s="116">
        <v>35880</v>
      </c>
      <c r="Q726" s="116"/>
      <c r="R726" s="116"/>
      <c r="S726" s="116"/>
      <c r="T726" s="116">
        <v>42120</v>
      </c>
      <c r="U726" s="116"/>
      <c r="V726" s="17">
        <f t="shared" si="89"/>
        <v>0</v>
      </c>
      <c r="W726" s="17"/>
    </row>
    <row r="727" spans="1:23" ht="65.25" customHeight="1">
      <c r="A727" s="147"/>
      <c r="B727" s="134"/>
      <c r="C727" s="147"/>
      <c r="D727" s="148"/>
      <c r="E727" s="16" t="s">
        <v>446</v>
      </c>
      <c r="F727" s="16"/>
      <c r="G727" s="16"/>
      <c r="H727" s="16"/>
      <c r="I727" s="24">
        <v>78000</v>
      </c>
      <c r="J727" s="116"/>
      <c r="K727" s="116"/>
      <c r="L727" s="116"/>
      <c r="M727" s="116">
        <v>6240</v>
      </c>
      <c r="N727" s="116">
        <v>-6240</v>
      </c>
      <c r="O727" s="116"/>
      <c r="P727" s="116">
        <v>35880</v>
      </c>
      <c r="Q727" s="116">
        <v>35880</v>
      </c>
      <c r="R727" s="116"/>
      <c r="S727" s="116"/>
      <c r="T727" s="116">
        <v>6240</v>
      </c>
      <c r="U727" s="116"/>
      <c r="V727" s="17">
        <f t="shared" si="89"/>
        <v>0</v>
      </c>
      <c r="W727" s="17"/>
    </row>
    <row r="728" spans="1:23" ht="62.25" customHeight="1">
      <c r="A728" s="147"/>
      <c r="B728" s="134"/>
      <c r="C728" s="147"/>
      <c r="D728" s="148"/>
      <c r="E728" s="16" t="s">
        <v>343</v>
      </c>
      <c r="F728" s="16"/>
      <c r="G728" s="16"/>
      <c r="H728" s="16"/>
      <c r="I728" s="24">
        <v>77000</v>
      </c>
      <c r="J728" s="116"/>
      <c r="K728" s="116"/>
      <c r="L728" s="116"/>
      <c r="M728" s="116">
        <v>6160</v>
      </c>
      <c r="N728" s="116">
        <v>-6160</v>
      </c>
      <c r="O728" s="116"/>
      <c r="P728" s="116">
        <v>35420</v>
      </c>
      <c r="Q728" s="116">
        <v>35420</v>
      </c>
      <c r="R728" s="116"/>
      <c r="S728" s="116"/>
      <c r="T728" s="116">
        <v>6160</v>
      </c>
      <c r="U728" s="116"/>
      <c r="V728" s="17">
        <f t="shared" si="89"/>
        <v>0</v>
      </c>
      <c r="W728" s="17"/>
    </row>
    <row r="729" spans="1:23" ht="60" customHeight="1">
      <c r="A729" s="147"/>
      <c r="B729" s="134"/>
      <c r="C729" s="147"/>
      <c r="D729" s="148"/>
      <c r="E729" s="16" t="s">
        <v>344</v>
      </c>
      <c r="F729" s="16"/>
      <c r="G729" s="16"/>
      <c r="H729" s="16"/>
      <c r="I729" s="24">
        <v>77000</v>
      </c>
      <c r="J729" s="116"/>
      <c r="K729" s="116"/>
      <c r="L729" s="116"/>
      <c r="M729" s="116">
        <v>6160</v>
      </c>
      <c r="N729" s="116">
        <v>-6160</v>
      </c>
      <c r="O729" s="116"/>
      <c r="P729" s="116">
        <v>35420</v>
      </c>
      <c r="Q729" s="116">
        <v>35420</v>
      </c>
      <c r="R729" s="116"/>
      <c r="S729" s="116"/>
      <c r="T729" s="116">
        <v>6160</v>
      </c>
      <c r="U729" s="116"/>
      <c r="V729" s="17">
        <f aca="true" t="shared" si="93" ref="V729:V796">I729-J729-K729-L729-M729-N729-O729-P729-Q729-R729-S729-T729-U729</f>
        <v>0</v>
      </c>
      <c r="W729" s="17"/>
    </row>
    <row r="730" spans="1:23" ht="60.75" customHeight="1">
      <c r="A730" s="147"/>
      <c r="B730" s="134"/>
      <c r="C730" s="147"/>
      <c r="D730" s="148"/>
      <c r="E730" s="16" t="s">
        <v>448</v>
      </c>
      <c r="F730" s="16"/>
      <c r="G730" s="16"/>
      <c r="H730" s="16"/>
      <c r="I730" s="24">
        <v>77000</v>
      </c>
      <c r="J730" s="116"/>
      <c r="K730" s="116"/>
      <c r="L730" s="116"/>
      <c r="M730" s="116">
        <v>6160</v>
      </c>
      <c r="N730" s="116">
        <v>-6160</v>
      </c>
      <c r="O730" s="116"/>
      <c r="P730" s="116">
        <v>35420</v>
      </c>
      <c r="Q730" s="116">
        <v>35420</v>
      </c>
      <c r="R730" s="116"/>
      <c r="S730" s="116"/>
      <c r="T730" s="116">
        <v>6160</v>
      </c>
      <c r="U730" s="116"/>
      <c r="V730" s="17">
        <f t="shared" si="93"/>
        <v>0</v>
      </c>
      <c r="W730" s="17"/>
    </row>
    <row r="731" spans="1:23" ht="56.25">
      <c r="A731" s="147"/>
      <c r="B731" s="134"/>
      <c r="C731" s="147"/>
      <c r="D731" s="148"/>
      <c r="E731" s="16" t="s">
        <v>449</v>
      </c>
      <c r="F731" s="16"/>
      <c r="G731" s="16"/>
      <c r="H731" s="16"/>
      <c r="I731" s="24">
        <v>77000</v>
      </c>
      <c r="J731" s="116"/>
      <c r="K731" s="116"/>
      <c r="L731" s="116"/>
      <c r="M731" s="116">
        <v>6160</v>
      </c>
      <c r="N731" s="116">
        <v>-6160</v>
      </c>
      <c r="O731" s="116"/>
      <c r="P731" s="116">
        <v>35420</v>
      </c>
      <c r="Q731" s="116">
        <v>35420</v>
      </c>
      <c r="R731" s="116"/>
      <c r="S731" s="116"/>
      <c r="T731" s="116">
        <v>6160</v>
      </c>
      <c r="U731" s="116"/>
      <c r="V731" s="17">
        <f t="shared" si="93"/>
        <v>0</v>
      </c>
      <c r="W731" s="17"/>
    </row>
    <row r="732" spans="1:23" ht="64.5" customHeight="1">
      <c r="A732" s="147"/>
      <c r="B732" s="134"/>
      <c r="C732" s="147"/>
      <c r="D732" s="148"/>
      <c r="E732" s="16" t="s">
        <v>457</v>
      </c>
      <c r="F732" s="16"/>
      <c r="G732" s="16"/>
      <c r="H732" s="16"/>
      <c r="I732" s="24">
        <v>78000</v>
      </c>
      <c r="J732" s="116"/>
      <c r="K732" s="116"/>
      <c r="L732" s="116"/>
      <c r="M732" s="116">
        <v>6240</v>
      </c>
      <c r="N732" s="116">
        <v>-6240</v>
      </c>
      <c r="O732" s="116"/>
      <c r="P732" s="116">
        <v>35880</v>
      </c>
      <c r="Q732" s="116">
        <v>35880</v>
      </c>
      <c r="R732" s="116"/>
      <c r="S732" s="116"/>
      <c r="T732" s="116">
        <v>6240</v>
      </c>
      <c r="U732" s="116"/>
      <c r="V732" s="17">
        <f t="shared" si="93"/>
        <v>0</v>
      </c>
      <c r="W732" s="17"/>
    </row>
    <row r="733" spans="1:23" ht="56.25">
      <c r="A733" s="147"/>
      <c r="B733" s="134"/>
      <c r="C733" s="147"/>
      <c r="D733" s="148"/>
      <c r="E733" s="16" t="s">
        <v>458</v>
      </c>
      <c r="F733" s="16"/>
      <c r="G733" s="16"/>
      <c r="H733" s="16"/>
      <c r="I733" s="24">
        <v>50800</v>
      </c>
      <c r="J733" s="116"/>
      <c r="K733" s="116"/>
      <c r="L733" s="116"/>
      <c r="M733" s="116">
        <v>4064</v>
      </c>
      <c r="N733" s="116">
        <v>-4064</v>
      </c>
      <c r="O733" s="116"/>
      <c r="P733" s="116">
        <v>23368</v>
      </c>
      <c r="Q733" s="116">
        <v>23368</v>
      </c>
      <c r="R733" s="116"/>
      <c r="S733" s="116"/>
      <c r="T733" s="116">
        <v>4064</v>
      </c>
      <c r="U733" s="116"/>
      <c r="V733" s="17">
        <f t="shared" si="93"/>
        <v>0</v>
      </c>
      <c r="W733" s="17"/>
    </row>
    <row r="734" spans="1:23" ht="56.25">
      <c r="A734" s="147"/>
      <c r="B734" s="134"/>
      <c r="C734" s="147"/>
      <c r="D734" s="148"/>
      <c r="E734" s="16" t="s">
        <v>459</v>
      </c>
      <c r="F734" s="16"/>
      <c r="G734" s="16"/>
      <c r="H734" s="16"/>
      <c r="I734" s="24">
        <v>143000</v>
      </c>
      <c r="J734" s="116"/>
      <c r="K734" s="116"/>
      <c r="L734" s="116"/>
      <c r="M734" s="116">
        <v>11440</v>
      </c>
      <c r="N734" s="116">
        <v>-11440</v>
      </c>
      <c r="O734" s="116"/>
      <c r="P734" s="116">
        <v>65780</v>
      </c>
      <c r="Q734" s="116">
        <v>65780</v>
      </c>
      <c r="R734" s="116"/>
      <c r="S734" s="116"/>
      <c r="T734" s="116">
        <v>11440</v>
      </c>
      <c r="U734" s="116"/>
      <c r="V734" s="17">
        <f t="shared" si="93"/>
        <v>0</v>
      </c>
      <c r="W734" s="17"/>
    </row>
    <row r="735" spans="1:23" ht="56.25">
      <c r="A735" s="147"/>
      <c r="B735" s="134"/>
      <c r="C735" s="147"/>
      <c r="D735" s="148"/>
      <c r="E735" s="16" t="s">
        <v>460</v>
      </c>
      <c r="F735" s="16"/>
      <c r="G735" s="16"/>
      <c r="H735" s="16"/>
      <c r="I735" s="24">
        <v>143000</v>
      </c>
      <c r="J735" s="116"/>
      <c r="K735" s="116"/>
      <c r="L735" s="116"/>
      <c r="M735" s="116">
        <v>11440</v>
      </c>
      <c r="N735" s="116">
        <v>-11440</v>
      </c>
      <c r="O735" s="116"/>
      <c r="P735" s="116">
        <v>65780</v>
      </c>
      <c r="Q735" s="116">
        <v>65780</v>
      </c>
      <c r="R735" s="116"/>
      <c r="S735" s="116"/>
      <c r="T735" s="116">
        <v>11440</v>
      </c>
      <c r="U735" s="116"/>
      <c r="V735" s="17">
        <f t="shared" si="93"/>
        <v>0</v>
      </c>
      <c r="W735" s="17"/>
    </row>
    <row r="736" spans="1:23" ht="56.25">
      <c r="A736" s="147"/>
      <c r="B736" s="134"/>
      <c r="C736" s="147"/>
      <c r="D736" s="148"/>
      <c r="E736" s="16" t="s">
        <v>461</v>
      </c>
      <c r="F736" s="16"/>
      <c r="G736" s="16"/>
      <c r="H736" s="16"/>
      <c r="I736" s="24">
        <v>143000</v>
      </c>
      <c r="J736" s="116"/>
      <c r="K736" s="116"/>
      <c r="L736" s="116"/>
      <c r="M736" s="116">
        <v>11440</v>
      </c>
      <c r="N736" s="116">
        <v>-11440</v>
      </c>
      <c r="O736" s="116"/>
      <c r="P736" s="116">
        <v>65780</v>
      </c>
      <c r="Q736" s="116">
        <v>65780</v>
      </c>
      <c r="R736" s="116"/>
      <c r="S736" s="116"/>
      <c r="T736" s="116">
        <v>11440</v>
      </c>
      <c r="U736" s="116"/>
      <c r="V736" s="17">
        <f t="shared" si="93"/>
        <v>0</v>
      </c>
      <c r="W736" s="17"/>
    </row>
    <row r="737" spans="1:23" ht="56.25">
      <c r="A737" s="147"/>
      <c r="B737" s="134"/>
      <c r="C737" s="147"/>
      <c r="D737" s="148"/>
      <c r="E737" s="16" t="s">
        <v>462</v>
      </c>
      <c r="F737" s="16"/>
      <c r="G737" s="16"/>
      <c r="H737" s="16"/>
      <c r="I737" s="24">
        <v>232000</v>
      </c>
      <c r="J737" s="116"/>
      <c r="K737" s="116"/>
      <c r="L737" s="116"/>
      <c r="M737" s="116">
        <v>18560</v>
      </c>
      <c r="N737" s="116">
        <v>-18560</v>
      </c>
      <c r="O737" s="116"/>
      <c r="P737" s="116">
        <v>106720</v>
      </c>
      <c r="Q737" s="116">
        <v>106720</v>
      </c>
      <c r="R737" s="116"/>
      <c r="S737" s="116"/>
      <c r="T737" s="116">
        <v>18560</v>
      </c>
      <c r="U737" s="116"/>
      <c r="V737" s="17">
        <f t="shared" si="93"/>
        <v>0</v>
      </c>
      <c r="W737" s="17"/>
    </row>
    <row r="738" spans="1:23" ht="56.25">
      <c r="A738" s="147"/>
      <c r="B738" s="134"/>
      <c r="C738" s="147"/>
      <c r="D738" s="148"/>
      <c r="E738" s="16" t="s">
        <v>464</v>
      </c>
      <c r="F738" s="16"/>
      <c r="G738" s="16"/>
      <c r="H738" s="16"/>
      <c r="I738" s="24">
        <v>200000</v>
      </c>
      <c r="J738" s="116"/>
      <c r="K738" s="116"/>
      <c r="L738" s="116"/>
      <c r="M738" s="116">
        <v>16000</v>
      </c>
      <c r="N738" s="116">
        <v>-16000</v>
      </c>
      <c r="O738" s="116"/>
      <c r="P738" s="116">
        <v>92000</v>
      </c>
      <c r="Q738" s="116">
        <v>92000</v>
      </c>
      <c r="R738" s="116"/>
      <c r="S738" s="116"/>
      <c r="T738" s="116">
        <v>16000</v>
      </c>
      <c r="U738" s="116"/>
      <c r="V738" s="17">
        <f t="shared" si="93"/>
        <v>0</v>
      </c>
      <c r="W738" s="17"/>
    </row>
    <row r="739" spans="1:23" ht="75">
      <c r="A739" s="147"/>
      <c r="B739" s="134"/>
      <c r="C739" s="147"/>
      <c r="D739" s="148"/>
      <c r="E739" s="16" t="s">
        <v>385</v>
      </c>
      <c r="F739" s="16"/>
      <c r="G739" s="16"/>
      <c r="H739" s="16"/>
      <c r="I739" s="24">
        <v>500000</v>
      </c>
      <c r="J739" s="116"/>
      <c r="K739" s="116"/>
      <c r="L739" s="116"/>
      <c r="M739" s="116">
        <v>40000</v>
      </c>
      <c r="N739" s="116">
        <v>-40000</v>
      </c>
      <c r="O739" s="116"/>
      <c r="P739" s="116">
        <v>230000</v>
      </c>
      <c r="Q739" s="116">
        <v>230000</v>
      </c>
      <c r="R739" s="116"/>
      <c r="S739" s="116"/>
      <c r="T739" s="116">
        <v>40000</v>
      </c>
      <c r="U739" s="116"/>
      <c r="V739" s="17">
        <f t="shared" si="93"/>
        <v>0</v>
      </c>
      <c r="W739" s="17"/>
    </row>
    <row r="740" spans="1:23" ht="56.25">
      <c r="A740" s="147"/>
      <c r="B740" s="134"/>
      <c r="C740" s="147"/>
      <c r="D740" s="148"/>
      <c r="E740" s="16" t="s">
        <v>599</v>
      </c>
      <c r="F740" s="16"/>
      <c r="G740" s="16"/>
      <c r="H740" s="16"/>
      <c r="I740" s="24">
        <v>232000</v>
      </c>
      <c r="J740" s="116"/>
      <c r="K740" s="116"/>
      <c r="L740" s="116"/>
      <c r="M740" s="116">
        <v>18560</v>
      </c>
      <c r="N740" s="116">
        <v>-18560</v>
      </c>
      <c r="O740" s="116"/>
      <c r="P740" s="116">
        <v>106720</v>
      </c>
      <c r="Q740" s="116">
        <v>106720</v>
      </c>
      <c r="R740" s="116"/>
      <c r="S740" s="116"/>
      <c r="T740" s="116">
        <v>18560</v>
      </c>
      <c r="U740" s="116"/>
      <c r="V740" s="17">
        <f t="shared" si="93"/>
        <v>0</v>
      </c>
      <c r="W740" s="17"/>
    </row>
    <row r="741" spans="1:23" ht="56.25">
      <c r="A741" s="147"/>
      <c r="B741" s="134"/>
      <c r="C741" s="147"/>
      <c r="D741" s="148"/>
      <c r="E741" s="16" t="s">
        <v>532</v>
      </c>
      <c r="F741" s="16"/>
      <c r="G741" s="16"/>
      <c r="H741" s="16"/>
      <c r="I741" s="24">
        <v>348000</v>
      </c>
      <c r="J741" s="116"/>
      <c r="K741" s="116"/>
      <c r="L741" s="116"/>
      <c r="M741" s="116">
        <v>27840</v>
      </c>
      <c r="N741" s="116">
        <v>-27840</v>
      </c>
      <c r="O741" s="116"/>
      <c r="P741" s="116">
        <v>160080</v>
      </c>
      <c r="Q741" s="116">
        <v>160080</v>
      </c>
      <c r="R741" s="116"/>
      <c r="S741" s="116"/>
      <c r="T741" s="116">
        <v>27840</v>
      </c>
      <c r="U741" s="116"/>
      <c r="V741" s="17">
        <f t="shared" si="93"/>
        <v>0</v>
      </c>
      <c r="W741" s="17"/>
    </row>
    <row r="742" spans="1:23" ht="93.75">
      <c r="A742" s="147"/>
      <c r="B742" s="134"/>
      <c r="C742" s="147"/>
      <c r="D742" s="148"/>
      <c r="E742" s="16" t="s">
        <v>524</v>
      </c>
      <c r="F742" s="16"/>
      <c r="G742" s="16"/>
      <c r="H742" s="16"/>
      <c r="I742" s="24">
        <v>65000</v>
      </c>
      <c r="J742" s="116"/>
      <c r="K742" s="116"/>
      <c r="L742" s="116">
        <v>10000</v>
      </c>
      <c r="M742" s="116">
        <v>0</v>
      </c>
      <c r="N742" s="116">
        <v>55000</v>
      </c>
      <c r="O742" s="116"/>
      <c r="P742" s="116"/>
      <c r="Q742" s="116"/>
      <c r="R742" s="116"/>
      <c r="S742" s="116"/>
      <c r="T742" s="116"/>
      <c r="U742" s="116"/>
      <c r="V742" s="17">
        <f t="shared" si="93"/>
        <v>0</v>
      </c>
      <c r="W742" s="17"/>
    </row>
    <row r="743" spans="1:23" ht="37.5">
      <c r="A743" s="147"/>
      <c r="B743" s="134"/>
      <c r="C743" s="147"/>
      <c r="D743" s="148"/>
      <c r="E743" s="49" t="s">
        <v>529</v>
      </c>
      <c r="F743" s="49"/>
      <c r="G743" s="49"/>
      <c r="H743" s="49"/>
      <c r="I743" s="50">
        <f>SUM(I744:I789)</f>
        <v>7665955.6</v>
      </c>
      <c r="J743" s="50">
        <f aca="true" t="shared" si="94" ref="J743:W743">SUM(J744:J789)</f>
        <v>0</v>
      </c>
      <c r="K743" s="50">
        <f t="shared" si="94"/>
        <v>290000</v>
      </c>
      <c r="L743" s="50">
        <f t="shared" si="94"/>
        <v>1729240</v>
      </c>
      <c r="M743" s="50">
        <f t="shared" si="94"/>
        <v>1537352</v>
      </c>
      <c r="N743" s="50">
        <f t="shared" si="94"/>
        <v>-2881150</v>
      </c>
      <c r="O743" s="50">
        <f t="shared" si="94"/>
        <v>3270</v>
      </c>
      <c r="P743" s="50">
        <f t="shared" si="94"/>
        <v>2975933.6</v>
      </c>
      <c r="Q743" s="50">
        <f t="shared" si="94"/>
        <v>749110</v>
      </c>
      <c r="R743" s="50">
        <f t="shared" si="94"/>
        <v>0</v>
      </c>
      <c r="S743" s="50">
        <f t="shared" si="94"/>
        <v>0</v>
      </c>
      <c r="T743" s="50">
        <f t="shared" si="94"/>
        <v>1866920</v>
      </c>
      <c r="U743" s="50">
        <f t="shared" si="94"/>
        <v>1395280</v>
      </c>
      <c r="V743" s="50">
        <f t="shared" si="94"/>
        <v>0</v>
      </c>
      <c r="W743" s="50">
        <f t="shared" si="94"/>
        <v>362875.4</v>
      </c>
    </row>
    <row r="744" spans="1:23" ht="79.5" customHeight="1">
      <c r="A744" s="147"/>
      <c r="B744" s="134"/>
      <c r="C744" s="147"/>
      <c r="D744" s="148"/>
      <c r="E744" s="43" t="s">
        <v>527</v>
      </c>
      <c r="F744" s="43"/>
      <c r="G744" s="43"/>
      <c r="H744" s="43"/>
      <c r="I744" s="24">
        <f>1300000+679000</f>
        <v>1979000</v>
      </c>
      <c r="J744" s="17"/>
      <c r="K744" s="17"/>
      <c r="L744" s="17">
        <v>1300000</v>
      </c>
      <c r="M744" s="17">
        <v>95280</v>
      </c>
      <c r="N744" s="17">
        <v>-1395280</v>
      </c>
      <c r="O744" s="17"/>
      <c r="P744" s="17">
        <v>318120</v>
      </c>
      <c r="Q744" s="17">
        <v>265600</v>
      </c>
      <c r="R744" s="17"/>
      <c r="S744" s="17"/>
      <c r="T744" s="17"/>
      <c r="U744" s="17">
        <v>1395280</v>
      </c>
      <c r="V744" s="17">
        <f t="shared" si="93"/>
        <v>0</v>
      </c>
      <c r="W744" s="17"/>
    </row>
    <row r="745" spans="1:23" ht="174" customHeight="1">
      <c r="A745" s="147"/>
      <c r="B745" s="134"/>
      <c r="C745" s="147"/>
      <c r="D745" s="148"/>
      <c r="E745" s="51" t="s">
        <v>927</v>
      </c>
      <c r="F745" s="51"/>
      <c r="G745" s="51"/>
      <c r="H745" s="51"/>
      <c r="I745" s="24">
        <v>290000</v>
      </c>
      <c r="J745" s="17"/>
      <c r="K745" s="17">
        <v>290000</v>
      </c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>
        <f t="shared" si="93"/>
        <v>0</v>
      </c>
      <c r="W745" s="17"/>
    </row>
    <row r="746" spans="1:23" ht="75">
      <c r="A746" s="147"/>
      <c r="B746" s="134"/>
      <c r="C746" s="147"/>
      <c r="D746" s="148"/>
      <c r="E746" s="51" t="s">
        <v>913</v>
      </c>
      <c r="F746" s="51"/>
      <c r="G746" s="51"/>
      <c r="H746" s="51"/>
      <c r="I746" s="24">
        <v>9792</v>
      </c>
      <c r="J746" s="17"/>
      <c r="K746" s="17"/>
      <c r="L746" s="17"/>
      <c r="M746" s="17">
        <v>6522</v>
      </c>
      <c r="N746" s="17"/>
      <c r="O746" s="17">
        <v>3270</v>
      </c>
      <c r="P746" s="17"/>
      <c r="Q746" s="17">
        <f>3270-3270</f>
        <v>0</v>
      </c>
      <c r="R746" s="17"/>
      <c r="S746" s="17"/>
      <c r="T746" s="17"/>
      <c r="U746" s="17"/>
      <c r="V746" s="17">
        <f>I746-J746-K746-L746-M746-N746-O746-P746-Q746-R746-S746-T746-U746</f>
        <v>0</v>
      </c>
      <c r="W746" s="17">
        <f>6522+3270</f>
        <v>9792</v>
      </c>
    </row>
    <row r="747" spans="1:23" ht="75">
      <c r="A747" s="147"/>
      <c r="B747" s="134"/>
      <c r="C747" s="147"/>
      <c r="D747" s="148"/>
      <c r="E747" s="51" t="s">
        <v>426</v>
      </c>
      <c r="F747" s="51"/>
      <c r="G747" s="51"/>
      <c r="H747" s="51"/>
      <c r="I747" s="24">
        <v>295000</v>
      </c>
      <c r="J747" s="17"/>
      <c r="K747" s="17"/>
      <c r="L747" s="17">
        <v>23600</v>
      </c>
      <c r="M747" s="17">
        <v>135700</v>
      </c>
      <c r="N747" s="17">
        <v>67850</v>
      </c>
      <c r="O747" s="17"/>
      <c r="P747" s="17"/>
      <c r="Q747" s="17">
        <v>67850</v>
      </c>
      <c r="R747" s="17"/>
      <c r="S747" s="17"/>
      <c r="T747" s="17"/>
      <c r="U747" s="17"/>
      <c r="V747" s="17">
        <f t="shared" si="93"/>
        <v>0</v>
      </c>
      <c r="W747" s="17">
        <f>11540+136278</f>
        <v>147818</v>
      </c>
    </row>
    <row r="748" spans="1:23" ht="56.25">
      <c r="A748" s="147"/>
      <c r="B748" s="134"/>
      <c r="C748" s="147"/>
      <c r="D748" s="148"/>
      <c r="E748" s="43" t="s">
        <v>386</v>
      </c>
      <c r="F748" s="43"/>
      <c r="G748" s="43"/>
      <c r="H748" s="43"/>
      <c r="I748" s="24">
        <f>1091000-260000-33836.4-319000</f>
        <v>478163.6</v>
      </c>
      <c r="J748" s="17"/>
      <c r="K748" s="17"/>
      <c r="L748" s="17">
        <v>33240</v>
      </c>
      <c r="M748" s="17">
        <f>33240-66480</f>
        <v>-33240</v>
      </c>
      <c r="N748" s="17"/>
      <c r="O748" s="17"/>
      <c r="P748" s="17">
        <f>382260-33836.4-152520</f>
        <v>195903.59999999998</v>
      </c>
      <c r="Q748" s="17">
        <f>382260-100000</f>
        <v>282260</v>
      </c>
      <c r="R748" s="17"/>
      <c r="S748" s="17"/>
      <c r="T748" s="17"/>
      <c r="U748" s="17"/>
      <c r="V748" s="17">
        <f t="shared" si="93"/>
        <v>0</v>
      </c>
      <c r="W748" s="17"/>
    </row>
    <row r="749" spans="1:23" ht="36" hidden="1">
      <c r="A749" s="147"/>
      <c r="B749" s="134"/>
      <c r="C749" s="147"/>
      <c r="D749" s="148"/>
      <c r="E749" s="43" t="s">
        <v>522</v>
      </c>
      <c r="F749" s="43"/>
      <c r="G749" s="43"/>
      <c r="H749" s="43"/>
      <c r="I749" s="24">
        <f>12000-12000</f>
        <v>0</v>
      </c>
      <c r="J749" s="17"/>
      <c r="K749" s="17"/>
      <c r="L749" s="17"/>
      <c r="M749" s="17">
        <f>960-960</f>
        <v>0</v>
      </c>
      <c r="N749" s="17">
        <f>5520-5520</f>
        <v>0</v>
      </c>
      <c r="O749" s="17"/>
      <c r="P749" s="17">
        <f>2760-2760</f>
        <v>0</v>
      </c>
      <c r="Q749" s="17">
        <f>2760-2760</f>
        <v>0</v>
      </c>
      <c r="R749" s="17"/>
      <c r="S749" s="17"/>
      <c r="T749" s="17"/>
      <c r="U749" s="17"/>
      <c r="V749" s="17">
        <f t="shared" si="93"/>
        <v>0</v>
      </c>
      <c r="W749" s="17"/>
    </row>
    <row r="750" spans="1:23" ht="56.25">
      <c r="A750" s="147"/>
      <c r="B750" s="134"/>
      <c r="C750" s="147"/>
      <c r="D750" s="148"/>
      <c r="E750" s="43" t="s">
        <v>523</v>
      </c>
      <c r="F750" s="43"/>
      <c r="G750" s="43"/>
      <c r="H750" s="43"/>
      <c r="I750" s="24">
        <v>193000</v>
      </c>
      <c r="J750" s="17"/>
      <c r="K750" s="17"/>
      <c r="L750" s="17"/>
      <c r="M750" s="17">
        <v>15440</v>
      </c>
      <c r="N750" s="17">
        <f>88780-104220</f>
        <v>-15440</v>
      </c>
      <c r="O750" s="17"/>
      <c r="P750" s="17">
        <v>44390</v>
      </c>
      <c r="Q750" s="17">
        <v>44390</v>
      </c>
      <c r="R750" s="17"/>
      <c r="S750" s="17"/>
      <c r="T750" s="17">
        <v>104220</v>
      </c>
      <c r="U750" s="17"/>
      <c r="V750" s="17">
        <f t="shared" si="93"/>
        <v>0</v>
      </c>
      <c r="W750" s="17"/>
    </row>
    <row r="751" spans="1:23" ht="75">
      <c r="A751" s="147"/>
      <c r="B751" s="134"/>
      <c r="C751" s="147"/>
      <c r="D751" s="148"/>
      <c r="E751" s="43" t="s">
        <v>394</v>
      </c>
      <c r="F751" s="43"/>
      <c r="G751" s="43"/>
      <c r="H751" s="43"/>
      <c r="I751" s="24">
        <v>194000</v>
      </c>
      <c r="J751" s="17"/>
      <c r="K751" s="17"/>
      <c r="L751" s="17"/>
      <c r="M751" s="17">
        <v>15520</v>
      </c>
      <c r="N751" s="17">
        <f>89240-104760</f>
        <v>-15520</v>
      </c>
      <c r="O751" s="17"/>
      <c r="P751" s="17">
        <v>44620</v>
      </c>
      <c r="Q751" s="17">
        <v>44620</v>
      </c>
      <c r="R751" s="17"/>
      <c r="S751" s="17"/>
      <c r="T751" s="17">
        <v>104760</v>
      </c>
      <c r="U751" s="17"/>
      <c r="V751" s="17">
        <f t="shared" si="93"/>
        <v>0</v>
      </c>
      <c r="W751" s="17"/>
    </row>
    <row r="752" spans="1:23" ht="56.25">
      <c r="A752" s="147"/>
      <c r="B752" s="134"/>
      <c r="C752" s="147"/>
      <c r="D752" s="148"/>
      <c r="E752" s="43" t="s">
        <v>395</v>
      </c>
      <c r="F752" s="43"/>
      <c r="G752" s="43"/>
      <c r="H752" s="43"/>
      <c r="I752" s="24">
        <v>193000</v>
      </c>
      <c r="J752" s="17"/>
      <c r="K752" s="17"/>
      <c r="L752" s="17"/>
      <c r="M752" s="17">
        <v>15440</v>
      </c>
      <c r="N752" s="17">
        <f>88780-104220</f>
        <v>-15440</v>
      </c>
      <c r="O752" s="17"/>
      <c r="P752" s="17">
        <v>44390</v>
      </c>
      <c r="Q752" s="17">
        <v>44390</v>
      </c>
      <c r="R752" s="17"/>
      <c r="S752" s="17"/>
      <c r="T752" s="17">
        <v>104220</v>
      </c>
      <c r="U752" s="17"/>
      <c r="V752" s="17">
        <f t="shared" si="93"/>
        <v>0</v>
      </c>
      <c r="W752" s="17"/>
    </row>
    <row r="753" spans="1:23" ht="56.25">
      <c r="A753" s="147"/>
      <c r="B753" s="134"/>
      <c r="C753" s="147"/>
      <c r="D753" s="148"/>
      <c r="E753" s="43" t="s">
        <v>396</v>
      </c>
      <c r="F753" s="43"/>
      <c r="G753" s="43"/>
      <c r="H753" s="43"/>
      <c r="I753" s="24">
        <v>232000</v>
      </c>
      <c r="J753" s="17"/>
      <c r="K753" s="17"/>
      <c r="L753" s="17">
        <v>18560</v>
      </c>
      <c r="M753" s="17">
        <v>76560</v>
      </c>
      <c r="N753" s="17">
        <v>-95120</v>
      </c>
      <c r="O753" s="17"/>
      <c r="P753" s="17">
        <v>136880</v>
      </c>
      <c r="Q753" s="17"/>
      <c r="R753" s="17"/>
      <c r="S753" s="17"/>
      <c r="T753" s="17">
        <v>95120</v>
      </c>
      <c r="U753" s="17"/>
      <c r="V753" s="17">
        <f t="shared" si="93"/>
        <v>0</v>
      </c>
      <c r="W753" s="17"/>
    </row>
    <row r="754" spans="1:23" ht="54" hidden="1">
      <c r="A754" s="147"/>
      <c r="B754" s="134"/>
      <c r="C754" s="147"/>
      <c r="D754" s="148"/>
      <c r="E754" s="43" t="s">
        <v>397</v>
      </c>
      <c r="F754" s="43"/>
      <c r="G754" s="43"/>
      <c r="H754" s="43"/>
      <c r="I754" s="24">
        <f>232000-232000</f>
        <v>0</v>
      </c>
      <c r="J754" s="17"/>
      <c r="K754" s="17"/>
      <c r="L754" s="17">
        <v>18560</v>
      </c>
      <c r="M754" s="17">
        <f>76560-95120</f>
        <v>-18560</v>
      </c>
      <c r="N754" s="17"/>
      <c r="O754" s="17"/>
      <c r="P754" s="17">
        <f>136880-136880</f>
        <v>0</v>
      </c>
      <c r="Q754" s="17"/>
      <c r="R754" s="17"/>
      <c r="S754" s="17"/>
      <c r="T754" s="17"/>
      <c r="U754" s="17"/>
      <c r="V754" s="17">
        <f>I754-J754-K754-L754-M754-N754-O754-P754-Q754-R754-S754-T754-U754</f>
        <v>0</v>
      </c>
      <c r="W754" s="17"/>
    </row>
    <row r="755" spans="1:23" ht="56.25">
      <c r="A755" s="147"/>
      <c r="B755" s="134"/>
      <c r="C755" s="147"/>
      <c r="D755" s="148"/>
      <c r="E755" s="43" t="s">
        <v>301</v>
      </c>
      <c r="F755" s="43"/>
      <c r="G755" s="43"/>
      <c r="H755" s="43"/>
      <c r="I755" s="24">
        <v>110000</v>
      </c>
      <c r="J755" s="17"/>
      <c r="K755" s="17"/>
      <c r="L755" s="17"/>
      <c r="M755" s="17">
        <v>45100</v>
      </c>
      <c r="N755" s="17">
        <v>-45100</v>
      </c>
      <c r="O755" s="17"/>
      <c r="P755" s="17">
        <v>64900</v>
      </c>
      <c r="Q755" s="17"/>
      <c r="R755" s="17"/>
      <c r="S755" s="17"/>
      <c r="T755" s="17">
        <v>45100</v>
      </c>
      <c r="U755" s="17"/>
      <c r="V755" s="17">
        <f>I755-J755-K755-L755-M755-N755-O755-P755-Q755-R755-S755-T755-U755</f>
        <v>0</v>
      </c>
      <c r="W755" s="17"/>
    </row>
    <row r="756" spans="1:23" ht="75">
      <c r="A756" s="147"/>
      <c r="B756" s="134"/>
      <c r="C756" s="147"/>
      <c r="D756" s="148"/>
      <c r="E756" s="43" t="s">
        <v>302</v>
      </c>
      <c r="F756" s="43"/>
      <c r="G756" s="43"/>
      <c r="H756" s="43"/>
      <c r="I756" s="24">
        <v>72000</v>
      </c>
      <c r="J756" s="17"/>
      <c r="K756" s="17"/>
      <c r="L756" s="17"/>
      <c r="M756" s="17">
        <v>29520</v>
      </c>
      <c r="N756" s="17">
        <v>-29520</v>
      </c>
      <c r="O756" s="17"/>
      <c r="P756" s="17">
        <v>42480</v>
      </c>
      <c r="Q756" s="17"/>
      <c r="R756" s="17"/>
      <c r="S756" s="17"/>
      <c r="T756" s="17">
        <v>29520</v>
      </c>
      <c r="U756" s="17"/>
      <c r="V756" s="17">
        <f>I756-J756-K756-L756-M756-N756-O756-P756-Q756-R756-S756-T756-U756</f>
        <v>0</v>
      </c>
      <c r="W756" s="17"/>
    </row>
    <row r="757" spans="1:23" ht="56.25">
      <c r="A757" s="147"/>
      <c r="B757" s="134"/>
      <c r="C757" s="147"/>
      <c r="D757" s="148"/>
      <c r="E757" s="43" t="s">
        <v>303</v>
      </c>
      <c r="F757" s="43"/>
      <c r="G757" s="43"/>
      <c r="H757" s="43"/>
      <c r="I757" s="24">
        <v>50000</v>
      </c>
      <c r="J757" s="17"/>
      <c r="K757" s="17"/>
      <c r="L757" s="17"/>
      <c r="M757" s="17">
        <v>20500</v>
      </c>
      <c r="N757" s="17">
        <v>-20500</v>
      </c>
      <c r="O757" s="17"/>
      <c r="P757" s="17">
        <v>29500</v>
      </c>
      <c r="Q757" s="17"/>
      <c r="R757" s="17"/>
      <c r="S757" s="17"/>
      <c r="T757" s="17">
        <v>20500</v>
      </c>
      <c r="U757" s="17"/>
      <c r="V757" s="17">
        <f>I757-J757-K757-L757-M757-N757-O757-P757-Q757-R757-S757-T757-U757</f>
        <v>0</v>
      </c>
      <c r="W757" s="17"/>
    </row>
    <row r="758" spans="1:23" ht="75">
      <c r="A758" s="147"/>
      <c r="B758" s="134"/>
      <c r="C758" s="147"/>
      <c r="D758" s="148"/>
      <c r="E758" s="43" t="s">
        <v>398</v>
      </c>
      <c r="F758" s="43"/>
      <c r="G758" s="43"/>
      <c r="H758" s="43"/>
      <c r="I758" s="24">
        <v>232000</v>
      </c>
      <c r="J758" s="17"/>
      <c r="K758" s="17"/>
      <c r="L758" s="17">
        <v>18560</v>
      </c>
      <c r="M758" s="17">
        <v>76560</v>
      </c>
      <c r="N758" s="17">
        <v>-95120</v>
      </c>
      <c r="O758" s="17"/>
      <c r="P758" s="17">
        <v>136880</v>
      </c>
      <c r="Q758" s="17"/>
      <c r="R758" s="17"/>
      <c r="S758" s="17"/>
      <c r="T758" s="17">
        <v>95120</v>
      </c>
      <c r="U758" s="17"/>
      <c r="V758" s="17">
        <f t="shared" si="93"/>
        <v>0</v>
      </c>
      <c r="W758" s="17"/>
    </row>
    <row r="759" spans="1:23" ht="36" hidden="1">
      <c r="A759" s="147"/>
      <c r="B759" s="134"/>
      <c r="C759" s="147"/>
      <c r="D759" s="148"/>
      <c r="E759" s="43" t="s">
        <v>1022</v>
      </c>
      <c r="F759" s="43"/>
      <c r="G759" s="43"/>
      <c r="H759" s="43"/>
      <c r="I759" s="24">
        <f>94000-94000</f>
        <v>0</v>
      </c>
      <c r="J759" s="17"/>
      <c r="K759" s="17"/>
      <c r="L759" s="17">
        <v>7520</v>
      </c>
      <c r="M759" s="17">
        <f>31020-38540</f>
        <v>-7520</v>
      </c>
      <c r="N759" s="17"/>
      <c r="O759" s="17"/>
      <c r="P759" s="17">
        <f>55460-55460</f>
        <v>0</v>
      </c>
      <c r="Q759" s="17"/>
      <c r="R759" s="17"/>
      <c r="S759" s="17"/>
      <c r="T759" s="17"/>
      <c r="U759" s="17"/>
      <c r="V759" s="17">
        <f t="shared" si="93"/>
        <v>0</v>
      </c>
      <c r="W759" s="17"/>
    </row>
    <row r="760" spans="1:23" ht="75">
      <c r="A760" s="147"/>
      <c r="B760" s="134"/>
      <c r="C760" s="147"/>
      <c r="D760" s="148"/>
      <c r="E760" s="43" t="s">
        <v>1106</v>
      </c>
      <c r="F760" s="43"/>
      <c r="G760" s="43"/>
      <c r="H760" s="43"/>
      <c r="I760" s="24">
        <v>200000</v>
      </c>
      <c r="J760" s="17"/>
      <c r="K760" s="17"/>
      <c r="L760" s="17">
        <v>16000</v>
      </c>
      <c r="M760" s="17">
        <v>66000</v>
      </c>
      <c r="N760" s="17">
        <v>-82000</v>
      </c>
      <c r="O760" s="17"/>
      <c r="P760" s="17">
        <v>118000</v>
      </c>
      <c r="Q760" s="17"/>
      <c r="R760" s="17"/>
      <c r="S760" s="17"/>
      <c r="T760" s="17">
        <v>82000</v>
      </c>
      <c r="U760" s="17"/>
      <c r="V760" s="17">
        <f t="shared" si="93"/>
        <v>0</v>
      </c>
      <c r="W760" s="17"/>
    </row>
    <row r="761" spans="1:23" ht="75">
      <c r="A761" s="147"/>
      <c r="B761" s="134"/>
      <c r="C761" s="147"/>
      <c r="D761" s="148"/>
      <c r="E761" s="43" t="s">
        <v>483</v>
      </c>
      <c r="F761" s="43"/>
      <c r="G761" s="43"/>
      <c r="H761" s="43"/>
      <c r="I761" s="24">
        <v>32000</v>
      </c>
      <c r="J761" s="17"/>
      <c r="K761" s="17"/>
      <c r="L761" s="17">
        <v>2560</v>
      </c>
      <c r="M761" s="17">
        <v>15710</v>
      </c>
      <c r="N761" s="17">
        <v>-18270</v>
      </c>
      <c r="O761" s="17"/>
      <c r="P761" s="17">
        <v>13730</v>
      </c>
      <c r="Q761" s="17"/>
      <c r="R761" s="17"/>
      <c r="S761" s="17"/>
      <c r="T761" s="17">
        <v>18270</v>
      </c>
      <c r="U761" s="17"/>
      <c r="V761" s="17">
        <f t="shared" si="93"/>
        <v>0</v>
      </c>
      <c r="W761" s="17"/>
    </row>
    <row r="762" spans="1:23" ht="56.25">
      <c r="A762" s="147"/>
      <c r="B762" s="134"/>
      <c r="C762" s="147"/>
      <c r="D762" s="148"/>
      <c r="E762" s="43" t="s">
        <v>920</v>
      </c>
      <c r="F762" s="43"/>
      <c r="G762" s="43"/>
      <c r="H762" s="43"/>
      <c r="I762" s="24">
        <v>116000</v>
      </c>
      <c r="J762" s="17"/>
      <c r="K762" s="17"/>
      <c r="L762" s="17">
        <v>9280</v>
      </c>
      <c r="M762" s="17">
        <v>38280</v>
      </c>
      <c r="N762" s="17">
        <v>-47560</v>
      </c>
      <c r="O762" s="17"/>
      <c r="P762" s="17">
        <v>68440</v>
      </c>
      <c r="Q762" s="17"/>
      <c r="R762" s="17"/>
      <c r="S762" s="17"/>
      <c r="T762" s="17">
        <v>47560</v>
      </c>
      <c r="U762" s="17"/>
      <c r="V762" s="17">
        <f t="shared" si="93"/>
        <v>0</v>
      </c>
      <c r="W762" s="17"/>
    </row>
    <row r="763" spans="1:23" ht="56.25">
      <c r="A763" s="147"/>
      <c r="B763" s="134"/>
      <c r="C763" s="147"/>
      <c r="D763" s="148"/>
      <c r="E763" s="43" t="s">
        <v>131</v>
      </c>
      <c r="F763" s="43"/>
      <c r="G763" s="43"/>
      <c r="H763" s="43"/>
      <c r="I763" s="24">
        <v>116000</v>
      </c>
      <c r="J763" s="17"/>
      <c r="K763" s="17"/>
      <c r="L763" s="17">
        <v>9280</v>
      </c>
      <c r="M763" s="17">
        <v>38280</v>
      </c>
      <c r="N763" s="17">
        <v>-47560</v>
      </c>
      <c r="O763" s="17"/>
      <c r="P763" s="17">
        <v>68440</v>
      </c>
      <c r="Q763" s="17"/>
      <c r="R763" s="17"/>
      <c r="S763" s="17"/>
      <c r="T763" s="17">
        <v>47560</v>
      </c>
      <c r="U763" s="17"/>
      <c r="V763" s="17">
        <f t="shared" si="93"/>
        <v>0</v>
      </c>
      <c r="W763" s="17"/>
    </row>
    <row r="764" spans="1:23" ht="56.25">
      <c r="A764" s="147"/>
      <c r="B764" s="134"/>
      <c r="C764" s="147"/>
      <c r="D764" s="148"/>
      <c r="E764" s="43" t="s">
        <v>915</v>
      </c>
      <c r="F764" s="43"/>
      <c r="G764" s="43"/>
      <c r="H764" s="43"/>
      <c r="I764" s="24">
        <v>232000</v>
      </c>
      <c r="J764" s="17"/>
      <c r="K764" s="17"/>
      <c r="L764" s="17">
        <v>18560</v>
      </c>
      <c r="M764" s="17">
        <v>76560</v>
      </c>
      <c r="N764" s="17">
        <v>-95120</v>
      </c>
      <c r="O764" s="17"/>
      <c r="P764" s="17">
        <v>136880</v>
      </c>
      <c r="Q764" s="17"/>
      <c r="R764" s="17"/>
      <c r="S764" s="17"/>
      <c r="T764" s="17">
        <v>95120</v>
      </c>
      <c r="U764" s="17"/>
      <c r="V764" s="17">
        <f t="shared" si="93"/>
        <v>0</v>
      </c>
      <c r="W764" s="17"/>
    </row>
    <row r="765" spans="1:23" ht="56.25">
      <c r="A765" s="147"/>
      <c r="B765" s="134"/>
      <c r="C765" s="147"/>
      <c r="D765" s="148"/>
      <c r="E765" s="43" t="s">
        <v>916</v>
      </c>
      <c r="F765" s="43"/>
      <c r="G765" s="43"/>
      <c r="H765" s="43"/>
      <c r="I765" s="24">
        <v>232000</v>
      </c>
      <c r="J765" s="17"/>
      <c r="K765" s="17"/>
      <c r="L765" s="17">
        <v>18560</v>
      </c>
      <c r="M765" s="17">
        <v>76560</v>
      </c>
      <c r="N765" s="17">
        <v>-95120</v>
      </c>
      <c r="O765" s="17"/>
      <c r="P765" s="17">
        <v>136880</v>
      </c>
      <c r="Q765" s="17"/>
      <c r="R765" s="17"/>
      <c r="S765" s="17"/>
      <c r="T765" s="17">
        <v>95120</v>
      </c>
      <c r="U765" s="17"/>
      <c r="V765" s="17">
        <f t="shared" si="93"/>
        <v>0</v>
      </c>
      <c r="W765" s="17"/>
    </row>
    <row r="766" spans="1:23" ht="56.25">
      <c r="A766" s="147"/>
      <c r="B766" s="134"/>
      <c r="C766" s="147"/>
      <c r="D766" s="148"/>
      <c r="E766" s="43" t="s">
        <v>138</v>
      </c>
      <c r="F766" s="43"/>
      <c r="G766" s="43"/>
      <c r="H766" s="43"/>
      <c r="I766" s="24">
        <v>232000</v>
      </c>
      <c r="J766" s="17"/>
      <c r="K766" s="17"/>
      <c r="L766" s="17">
        <v>18560</v>
      </c>
      <c r="M766" s="17">
        <v>76560</v>
      </c>
      <c r="N766" s="17">
        <v>-95120</v>
      </c>
      <c r="O766" s="17"/>
      <c r="P766" s="17">
        <v>136880</v>
      </c>
      <c r="Q766" s="17"/>
      <c r="R766" s="17"/>
      <c r="S766" s="17"/>
      <c r="T766" s="17">
        <v>95120</v>
      </c>
      <c r="U766" s="17"/>
      <c r="V766" s="17">
        <f t="shared" si="93"/>
        <v>0</v>
      </c>
      <c r="W766" s="17"/>
    </row>
    <row r="767" spans="1:23" ht="54" hidden="1">
      <c r="A767" s="147"/>
      <c r="B767" s="134"/>
      <c r="C767" s="147"/>
      <c r="D767" s="148"/>
      <c r="E767" s="43" t="s">
        <v>139</v>
      </c>
      <c r="F767" s="43"/>
      <c r="G767" s="43"/>
      <c r="H767" s="43"/>
      <c r="I767" s="24">
        <f>116000-116000</f>
        <v>0</v>
      </c>
      <c r="J767" s="17"/>
      <c r="K767" s="17"/>
      <c r="L767" s="17">
        <v>9280</v>
      </c>
      <c r="M767" s="17">
        <f>38280-47560</f>
        <v>-9280</v>
      </c>
      <c r="N767" s="17"/>
      <c r="O767" s="17"/>
      <c r="P767" s="17">
        <f>68440-68440</f>
        <v>0</v>
      </c>
      <c r="Q767" s="17"/>
      <c r="R767" s="17"/>
      <c r="S767" s="17"/>
      <c r="T767" s="17"/>
      <c r="U767" s="17"/>
      <c r="V767" s="17">
        <f t="shared" si="93"/>
        <v>0</v>
      </c>
      <c r="W767" s="17"/>
    </row>
    <row r="768" spans="1:23" ht="54" hidden="1">
      <c r="A768" s="147"/>
      <c r="B768" s="134"/>
      <c r="C768" s="147"/>
      <c r="D768" s="148"/>
      <c r="E768" s="43" t="s">
        <v>954</v>
      </c>
      <c r="F768" s="43"/>
      <c r="G768" s="43"/>
      <c r="H768" s="43"/>
      <c r="I768" s="24">
        <f>116000-116000</f>
        <v>0</v>
      </c>
      <c r="J768" s="17"/>
      <c r="K768" s="17"/>
      <c r="L768" s="17">
        <v>9280</v>
      </c>
      <c r="M768" s="17">
        <f>38280-47560</f>
        <v>-9280</v>
      </c>
      <c r="N768" s="17"/>
      <c r="O768" s="17"/>
      <c r="P768" s="17">
        <f>68440-68440</f>
        <v>0</v>
      </c>
      <c r="Q768" s="17"/>
      <c r="R768" s="17"/>
      <c r="S768" s="17"/>
      <c r="T768" s="17"/>
      <c r="U768" s="17"/>
      <c r="V768" s="17">
        <f t="shared" si="93"/>
        <v>0</v>
      </c>
      <c r="W768" s="17"/>
    </row>
    <row r="769" spans="1:23" ht="54" hidden="1">
      <c r="A769" s="147"/>
      <c r="B769" s="134"/>
      <c r="C769" s="147"/>
      <c r="D769" s="148"/>
      <c r="E769" s="43" t="s">
        <v>132</v>
      </c>
      <c r="F769" s="43"/>
      <c r="G769" s="43"/>
      <c r="H769" s="43"/>
      <c r="I769" s="24">
        <f>116000-116000</f>
        <v>0</v>
      </c>
      <c r="J769" s="17"/>
      <c r="K769" s="17"/>
      <c r="L769" s="17">
        <v>9280</v>
      </c>
      <c r="M769" s="17">
        <f>38280-47560</f>
        <v>-9280</v>
      </c>
      <c r="N769" s="17"/>
      <c r="O769" s="17"/>
      <c r="P769" s="17">
        <f>68440-68440</f>
        <v>0</v>
      </c>
      <c r="Q769" s="17"/>
      <c r="R769" s="17"/>
      <c r="S769" s="17"/>
      <c r="T769" s="17"/>
      <c r="U769" s="17"/>
      <c r="V769" s="17">
        <f t="shared" si="93"/>
        <v>0</v>
      </c>
      <c r="W769" s="17"/>
    </row>
    <row r="770" spans="1:23" ht="75">
      <c r="A770" s="147"/>
      <c r="B770" s="134"/>
      <c r="C770" s="147"/>
      <c r="D770" s="148"/>
      <c r="E770" s="48" t="s">
        <v>642</v>
      </c>
      <c r="F770" s="48"/>
      <c r="G770" s="48"/>
      <c r="H770" s="48"/>
      <c r="I770" s="24">
        <v>116000</v>
      </c>
      <c r="J770" s="17"/>
      <c r="K770" s="17"/>
      <c r="L770" s="17">
        <v>9280</v>
      </c>
      <c r="M770" s="17">
        <v>38280</v>
      </c>
      <c r="N770" s="17">
        <v>-47560</v>
      </c>
      <c r="O770" s="17"/>
      <c r="P770" s="17">
        <v>68440</v>
      </c>
      <c r="Q770" s="17"/>
      <c r="R770" s="17"/>
      <c r="S770" s="17"/>
      <c r="T770" s="17">
        <v>47560</v>
      </c>
      <c r="U770" s="17"/>
      <c r="V770" s="17">
        <f t="shared" si="93"/>
        <v>0</v>
      </c>
      <c r="W770" s="17"/>
    </row>
    <row r="771" spans="1:23" ht="75">
      <c r="A771" s="147"/>
      <c r="B771" s="134"/>
      <c r="C771" s="147"/>
      <c r="D771" s="148"/>
      <c r="E771" s="48" t="s">
        <v>643</v>
      </c>
      <c r="F771" s="48"/>
      <c r="G771" s="48"/>
      <c r="H771" s="48"/>
      <c r="I771" s="24">
        <v>39000</v>
      </c>
      <c r="J771" s="17"/>
      <c r="K771" s="17"/>
      <c r="L771" s="17">
        <v>3120</v>
      </c>
      <c r="M771" s="17">
        <v>12870</v>
      </c>
      <c r="N771" s="17">
        <v>-15990</v>
      </c>
      <c r="O771" s="17"/>
      <c r="P771" s="17">
        <v>23010</v>
      </c>
      <c r="Q771" s="17"/>
      <c r="R771" s="17"/>
      <c r="S771" s="17"/>
      <c r="T771" s="17">
        <v>15990</v>
      </c>
      <c r="U771" s="17"/>
      <c r="V771" s="17">
        <f t="shared" si="93"/>
        <v>0</v>
      </c>
      <c r="W771" s="17"/>
    </row>
    <row r="772" spans="1:23" ht="75">
      <c r="A772" s="147"/>
      <c r="B772" s="134"/>
      <c r="C772" s="147"/>
      <c r="D772" s="148"/>
      <c r="E772" s="48" t="s">
        <v>644</v>
      </c>
      <c r="F772" s="48"/>
      <c r="G772" s="48"/>
      <c r="H772" s="48"/>
      <c r="I772" s="24">
        <v>39000</v>
      </c>
      <c r="J772" s="17"/>
      <c r="K772" s="17"/>
      <c r="L772" s="17">
        <v>3120</v>
      </c>
      <c r="M772" s="17">
        <v>12870</v>
      </c>
      <c r="N772" s="17">
        <v>-15990</v>
      </c>
      <c r="O772" s="17"/>
      <c r="P772" s="17">
        <v>23010</v>
      </c>
      <c r="Q772" s="17"/>
      <c r="R772" s="17"/>
      <c r="S772" s="17"/>
      <c r="T772" s="17">
        <v>15990</v>
      </c>
      <c r="U772" s="17"/>
      <c r="V772" s="17">
        <f t="shared" si="93"/>
        <v>0</v>
      </c>
      <c r="W772" s="17"/>
    </row>
    <row r="773" spans="1:23" ht="75">
      <c r="A773" s="147"/>
      <c r="B773" s="134"/>
      <c r="C773" s="147"/>
      <c r="D773" s="148"/>
      <c r="E773" s="48" t="s">
        <v>645</v>
      </c>
      <c r="F773" s="48"/>
      <c r="G773" s="48"/>
      <c r="H773" s="48"/>
      <c r="I773" s="24">
        <v>39000</v>
      </c>
      <c r="J773" s="17"/>
      <c r="K773" s="17"/>
      <c r="L773" s="17">
        <v>3120</v>
      </c>
      <c r="M773" s="17">
        <v>12870</v>
      </c>
      <c r="N773" s="17">
        <v>-15990</v>
      </c>
      <c r="O773" s="17"/>
      <c r="P773" s="17">
        <v>23010</v>
      </c>
      <c r="Q773" s="17"/>
      <c r="R773" s="17"/>
      <c r="S773" s="17"/>
      <c r="T773" s="17">
        <v>15990</v>
      </c>
      <c r="U773" s="17"/>
      <c r="V773" s="17">
        <f t="shared" si="93"/>
        <v>0</v>
      </c>
      <c r="W773" s="17"/>
    </row>
    <row r="774" spans="1:23" ht="75">
      <c r="A774" s="147"/>
      <c r="B774" s="134"/>
      <c r="C774" s="147"/>
      <c r="D774" s="148"/>
      <c r="E774" s="48" t="s">
        <v>646</v>
      </c>
      <c r="F774" s="48"/>
      <c r="G774" s="48"/>
      <c r="H774" s="48"/>
      <c r="I774" s="24">
        <v>39000</v>
      </c>
      <c r="J774" s="17"/>
      <c r="K774" s="17"/>
      <c r="L774" s="17">
        <v>3120</v>
      </c>
      <c r="M774" s="17">
        <v>12870</v>
      </c>
      <c r="N774" s="17">
        <v>-15990</v>
      </c>
      <c r="O774" s="17"/>
      <c r="P774" s="17">
        <v>23010</v>
      </c>
      <c r="Q774" s="17"/>
      <c r="R774" s="17"/>
      <c r="S774" s="17"/>
      <c r="T774" s="17">
        <v>15990</v>
      </c>
      <c r="U774" s="17"/>
      <c r="V774" s="17">
        <f t="shared" si="93"/>
        <v>0</v>
      </c>
      <c r="W774" s="17"/>
    </row>
    <row r="775" spans="1:23" ht="56.25">
      <c r="A775" s="147"/>
      <c r="B775" s="134"/>
      <c r="C775" s="147"/>
      <c r="D775" s="148"/>
      <c r="E775" s="48" t="s">
        <v>683</v>
      </c>
      <c r="F775" s="48"/>
      <c r="G775" s="48"/>
      <c r="H775" s="48"/>
      <c r="I775" s="24">
        <v>38000</v>
      </c>
      <c r="J775" s="17"/>
      <c r="K775" s="17"/>
      <c r="L775" s="17">
        <v>3040</v>
      </c>
      <c r="M775" s="17">
        <v>12540</v>
      </c>
      <c r="N775" s="17">
        <v>-15580</v>
      </c>
      <c r="O775" s="17"/>
      <c r="P775" s="17">
        <v>22420</v>
      </c>
      <c r="Q775" s="17"/>
      <c r="R775" s="17"/>
      <c r="S775" s="17"/>
      <c r="T775" s="17">
        <v>15580</v>
      </c>
      <c r="U775" s="17"/>
      <c r="V775" s="17">
        <f t="shared" si="93"/>
        <v>0</v>
      </c>
      <c r="W775" s="17"/>
    </row>
    <row r="776" spans="1:23" ht="56.25">
      <c r="A776" s="147"/>
      <c r="B776" s="134"/>
      <c r="C776" s="147"/>
      <c r="D776" s="148"/>
      <c r="E776" s="48" t="s">
        <v>684</v>
      </c>
      <c r="F776" s="48"/>
      <c r="G776" s="48"/>
      <c r="H776" s="48"/>
      <c r="I776" s="24">
        <v>38000</v>
      </c>
      <c r="J776" s="17"/>
      <c r="K776" s="17"/>
      <c r="L776" s="17">
        <v>3040</v>
      </c>
      <c r="M776" s="17">
        <v>12540</v>
      </c>
      <c r="N776" s="17">
        <v>-15580</v>
      </c>
      <c r="O776" s="17"/>
      <c r="P776" s="17">
        <v>22420</v>
      </c>
      <c r="Q776" s="17"/>
      <c r="R776" s="17"/>
      <c r="S776" s="17"/>
      <c r="T776" s="17">
        <v>15580</v>
      </c>
      <c r="U776" s="17"/>
      <c r="V776" s="17">
        <f t="shared" si="93"/>
        <v>0</v>
      </c>
      <c r="W776" s="17"/>
    </row>
    <row r="777" spans="1:23" ht="56.25">
      <c r="A777" s="147"/>
      <c r="B777" s="134"/>
      <c r="C777" s="147"/>
      <c r="D777" s="148"/>
      <c r="E777" s="48" t="s">
        <v>685</v>
      </c>
      <c r="F777" s="48"/>
      <c r="G777" s="48"/>
      <c r="H777" s="48"/>
      <c r="I777" s="24">
        <v>143000</v>
      </c>
      <c r="J777" s="17"/>
      <c r="K777" s="17"/>
      <c r="L777" s="17">
        <v>11440</v>
      </c>
      <c r="M777" s="17">
        <v>47190</v>
      </c>
      <c r="N777" s="17">
        <v>-58630</v>
      </c>
      <c r="O777" s="17"/>
      <c r="P777" s="17">
        <v>84370</v>
      </c>
      <c r="Q777" s="17"/>
      <c r="R777" s="17"/>
      <c r="S777" s="17"/>
      <c r="T777" s="17">
        <v>58630</v>
      </c>
      <c r="U777" s="17"/>
      <c r="V777" s="17">
        <f t="shared" si="93"/>
        <v>0</v>
      </c>
      <c r="W777" s="17"/>
    </row>
    <row r="778" spans="1:23" ht="56.25">
      <c r="A778" s="147"/>
      <c r="B778" s="134"/>
      <c r="C778" s="147"/>
      <c r="D778" s="148"/>
      <c r="E778" s="48" t="s">
        <v>686</v>
      </c>
      <c r="F778" s="48"/>
      <c r="G778" s="48"/>
      <c r="H778" s="48"/>
      <c r="I778" s="24">
        <v>143000</v>
      </c>
      <c r="J778" s="17"/>
      <c r="K778" s="17"/>
      <c r="L778" s="17">
        <v>11440</v>
      </c>
      <c r="M778" s="17">
        <v>47190</v>
      </c>
      <c r="N778" s="17">
        <v>-58630</v>
      </c>
      <c r="O778" s="17"/>
      <c r="P778" s="17">
        <v>84370</v>
      </c>
      <c r="Q778" s="17"/>
      <c r="R778" s="17"/>
      <c r="S778" s="17"/>
      <c r="T778" s="17">
        <v>58630</v>
      </c>
      <c r="U778" s="17"/>
      <c r="V778" s="17">
        <f t="shared" si="93"/>
        <v>0</v>
      </c>
      <c r="W778" s="17"/>
    </row>
    <row r="779" spans="1:23" ht="75">
      <c r="A779" s="147"/>
      <c r="B779" s="134"/>
      <c r="C779" s="147"/>
      <c r="D779" s="148"/>
      <c r="E779" s="48" t="s">
        <v>687</v>
      </c>
      <c r="F779" s="48"/>
      <c r="G779" s="48"/>
      <c r="H779" s="48"/>
      <c r="I779" s="24">
        <v>143000</v>
      </c>
      <c r="J779" s="17"/>
      <c r="K779" s="17"/>
      <c r="L779" s="17">
        <v>11440</v>
      </c>
      <c r="M779" s="17">
        <v>47190</v>
      </c>
      <c r="N779" s="17">
        <v>-58630</v>
      </c>
      <c r="O779" s="17"/>
      <c r="P779" s="17">
        <v>84370</v>
      </c>
      <c r="Q779" s="17"/>
      <c r="R779" s="17"/>
      <c r="S779" s="17"/>
      <c r="T779" s="17">
        <v>58630</v>
      </c>
      <c r="U779" s="17"/>
      <c r="V779" s="17">
        <f t="shared" si="93"/>
        <v>0</v>
      </c>
      <c r="W779" s="17"/>
    </row>
    <row r="780" spans="1:23" ht="54" hidden="1">
      <c r="A780" s="147"/>
      <c r="B780" s="134"/>
      <c r="C780" s="147"/>
      <c r="D780" s="148"/>
      <c r="E780" s="48" t="s">
        <v>688</v>
      </c>
      <c r="F780" s="48"/>
      <c r="G780" s="48"/>
      <c r="H780" s="48"/>
      <c r="I780" s="24">
        <f>59000-59000</f>
        <v>0</v>
      </c>
      <c r="J780" s="17"/>
      <c r="K780" s="17"/>
      <c r="L780" s="17">
        <v>4720</v>
      </c>
      <c r="M780" s="17">
        <f>19470-24190</f>
        <v>-4720</v>
      </c>
      <c r="N780" s="17">
        <v>-58630</v>
      </c>
      <c r="O780" s="17"/>
      <c r="P780" s="17">
        <f>34810-34810</f>
        <v>0</v>
      </c>
      <c r="Q780" s="17"/>
      <c r="R780" s="17"/>
      <c r="S780" s="17"/>
      <c r="T780" s="17">
        <v>58630</v>
      </c>
      <c r="U780" s="17"/>
      <c r="V780" s="17">
        <f t="shared" si="93"/>
        <v>0</v>
      </c>
      <c r="W780" s="17"/>
    </row>
    <row r="781" spans="1:23" ht="56.25">
      <c r="A781" s="147"/>
      <c r="B781" s="134"/>
      <c r="C781" s="147"/>
      <c r="D781" s="148"/>
      <c r="E781" s="48" t="s">
        <v>600</v>
      </c>
      <c r="F781" s="48"/>
      <c r="G781" s="48"/>
      <c r="H781" s="48"/>
      <c r="I781" s="24">
        <v>143000</v>
      </c>
      <c r="J781" s="17"/>
      <c r="K781" s="17"/>
      <c r="L781" s="17">
        <v>11440</v>
      </c>
      <c r="M781" s="17">
        <v>47190</v>
      </c>
      <c r="N781" s="17">
        <v>-58630</v>
      </c>
      <c r="O781" s="17"/>
      <c r="P781" s="17">
        <v>84370</v>
      </c>
      <c r="Q781" s="17"/>
      <c r="R781" s="17"/>
      <c r="S781" s="17"/>
      <c r="T781" s="17">
        <v>58630</v>
      </c>
      <c r="U781" s="17"/>
      <c r="V781" s="17">
        <f t="shared" si="93"/>
        <v>0</v>
      </c>
      <c r="W781" s="17"/>
    </row>
    <row r="782" spans="1:23" ht="56.25">
      <c r="A782" s="147"/>
      <c r="B782" s="134"/>
      <c r="C782" s="147"/>
      <c r="D782" s="148"/>
      <c r="E782" s="48" t="s">
        <v>601</v>
      </c>
      <c r="F782" s="48"/>
      <c r="G782" s="48"/>
      <c r="H782" s="48"/>
      <c r="I782" s="24">
        <v>143000</v>
      </c>
      <c r="J782" s="17"/>
      <c r="K782" s="17"/>
      <c r="L782" s="17">
        <v>11440</v>
      </c>
      <c r="M782" s="17">
        <v>47190</v>
      </c>
      <c r="N782" s="17">
        <v>-58630</v>
      </c>
      <c r="O782" s="17"/>
      <c r="P782" s="17">
        <v>84370</v>
      </c>
      <c r="Q782" s="17"/>
      <c r="R782" s="17"/>
      <c r="S782" s="17"/>
      <c r="T782" s="17">
        <v>58630</v>
      </c>
      <c r="U782" s="17"/>
      <c r="V782" s="17">
        <f t="shared" si="93"/>
        <v>0</v>
      </c>
      <c r="W782" s="17"/>
    </row>
    <row r="783" spans="1:23" ht="56.25">
      <c r="A783" s="147"/>
      <c r="B783" s="134"/>
      <c r="C783" s="147"/>
      <c r="D783" s="148"/>
      <c r="E783" s="48" t="s">
        <v>602</v>
      </c>
      <c r="F783" s="48"/>
      <c r="G783" s="48"/>
      <c r="H783" s="48"/>
      <c r="I783" s="24">
        <v>143000</v>
      </c>
      <c r="J783" s="17"/>
      <c r="K783" s="17"/>
      <c r="L783" s="17">
        <v>11440</v>
      </c>
      <c r="M783" s="17">
        <v>47190</v>
      </c>
      <c r="N783" s="17">
        <v>-58630</v>
      </c>
      <c r="O783" s="17"/>
      <c r="P783" s="17">
        <v>84370</v>
      </c>
      <c r="Q783" s="17"/>
      <c r="R783" s="17"/>
      <c r="S783" s="17"/>
      <c r="T783" s="17">
        <v>58630</v>
      </c>
      <c r="U783" s="17"/>
      <c r="V783" s="17">
        <f t="shared" si="93"/>
        <v>0</v>
      </c>
      <c r="W783" s="17"/>
    </row>
    <row r="784" spans="1:23" ht="56.25">
      <c r="A784" s="147"/>
      <c r="B784" s="134"/>
      <c r="C784" s="147"/>
      <c r="D784" s="148"/>
      <c r="E784" s="48" t="s">
        <v>603</v>
      </c>
      <c r="F784" s="48"/>
      <c r="G784" s="48"/>
      <c r="H784" s="48"/>
      <c r="I784" s="24">
        <v>143000</v>
      </c>
      <c r="J784" s="17"/>
      <c r="K784" s="17"/>
      <c r="L784" s="17">
        <v>11440</v>
      </c>
      <c r="M784" s="17">
        <v>47190</v>
      </c>
      <c r="N784" s="17">
        <v>-58630</v>
      </c>
      <c r="O784" s="17"/>
      <c r="P784" s="17">
        <v>84370</v>
      </c>
      <c r="Q784" s="17"/>
      <c r="R784" s="17"/>
      <c r="S784" s="17"/>
      <c r="T784" s="17">
        <v>58630</v>
      </c>
      <c r="U784" s="17"/>
      <c r="V784" s="17">
        <f t="shared" si="93"/>
        <v>0</v>
      </c>
      <c r="W784" s="17"/>
    </row>
    <row r="785" spans="1:23" ht="56.25">
      <c r="A785" s="147"/>
      <c r="B785" s="134"/>
      <c r="C785" s="147"/>
      <c r="D785" s="148"/>
      <c r="E785" s="48" t="s">
        <v>604</v>
      </c>
      <c r="F785" s="48"/>
      <c r="G785" s="48"/>
      <c r="H785" s="48"/>
      <c r="I785" s="24">
        <v>143000</v>
      </c>
      <c r="J785" s="17"/>
      <c r="K785" s="17"/>
      <c r="L785" s="17">
        <v>11440</v>
      </c>
      <c r="M785" s="17">
        <v>47190</v>
      </c>
      <c r="N785" s="17">
        <v>-58630</v>
      </c>
      <c r="O785" s="17"/>
      <c r="P785" s="17">
        <v>84370</v>
      </c>
      <c r="Q785" s="17"/>
      <c r="R785" s="17"/>
      <c r="S785" s="17"/>
      <c r="T785" s="17">
        <v>58630</v>
      </c>
      <c r="U785" s="17"/>
      <c r="V785" s="17">
        <f t="shared" si="93"/>
        <v>0</v>
      </c>
      <c r="W785" s="17"/>
    </row>
    <row r="786" spans="1:23" ht="56.25">
      <c r="A786" s="147"/>
      <c r="B786" s="134"/>
      <c r="C786" s="147"/>
      <c r="D786" s="148"/>
      <c r="E786" s="48" t="s">
        <v>605</v>
      </c>
      <c r="F786" s="48"/>
      <c r="G786" s="48"/>
      <c r="H786" s="48"/>
      <c r="I786" s="24">
        <v>143000</v>
      </c>
      <c r="J786" s="17"/>
      <c r="K786" s="17"/>
      <c r="L786" s="17">
        <v>11440</v>
      </c>
      <c r="M786" s="17">
        <v>47190</v>
      </c>
      <c r="N786" s="17">
        <v>-58630</v>
      </c>
      <c r="O786" s="17"/>
      <c r="P786" s="17">
        <v>84370</v>
      </c>
      <c r="Q786" s="17"/>
      <c r="R786" s="17"/>
      <c r="S786" s="17"/>
      <c r="T786" s="17">
        <v>58630</v>
      </c>
      <c r="U786" s="17"/>
      <c r="V786" s="17">
        <f t="shared" si="93"/>
        <v>0</v>
      </c>
      <c r="W786" s="17"/>
    </row>
    <row r="787" spans="1:23" ht="54" hidden="1">
      <c r="A787" s="147"/>
      <c r="B787" s="134"/>
      <c r="C787" s="147"/>
      <c r="D787" s="148"/>
      <c r="E787" s="48" t="s">
        <v>606</v>
      </c>
      <c r="F787" s="48"/>
      <c r="G787" s="48"/>
      <c r="H787" s="48"/>
      <c r="I787" s="24">
        <f>120000-120000</f>
        <v>0</v>
      </c>
      <c r="J787" s="17"/>
      <c r="K787" s="17"/>
      <c r="L787" s="17">
        <v>9600</v>
      </c>
      <c r="M787" s="17">
        <f>39600-49200</f>
        <v>-9600</v>
      </c>
      <c r="N787" s="17"/>
      <c r="O787" s="17"/>
      <c r="P787" s="17">
        <f>70800-70800</f>
        <v>0</v>
      </c>
      <c r="Q787" s="17"/>
      <c r="R787" s="17"/>
      <c r="S787" s="17"/>
      <c r="T787" s="17"/>
      <c r="U787" s="17"/>
      <c r="V787" s="17">
        <f t="shared" si="93"/>
        <v>0</v>
      </c>
      <c r="W787" s="17"/>
    </row>
    <row r="788" spans="1:23" ht="56.25">
      <c r="A788" s="147"/>
      <c r="B788" s="134"/>
      <c r="C788" s="147"/>
      <c r="D788" s="148"/>
      <c r="E788" s="48" t="s">
        <v>658</v>
      </c>
      <c r="F788" s="48"/>
      <c r="G788" s="48"/>
      <c r="H788" s="48"/>
      <c r="I788" s="24">
        <v>400000</v>
      </c>
      <c r="J788" s="17"/>
      <c r="K788" s="17"/>
      <c r="L788" s="17">
        <v>32000</v>
      </c>
      <c r="M788" s="17">
        <v>132000</v>
      </c>
      <c r="N788" s="17">
        <f>-164000+20400+190000</f>
        <v>46400</v>
      </c>
      <c r="O788" s="17"/>
      <c r="P788" s="17">
        <f>236000-46400</f>
        <v>189600</v>
      </c>
      <c r="Q788" s="17"/>
      <c r="R788" s="17"/>
      <c r="S788" s="17"/>
      <c r="T788" s="17">
        <f>164000-20400-143600</f>
        <v>0</v>
      </c>
      <c r="U788" s="17"/>
      <c r="V788" s="17">
        <f t="shared" si="93"/>
        <v>0</v>
      </c>
      <c r="W788" s="17">
        <f>20341.39+184924.01</f>
        <v>205265.40000000002</v>
      </c>
    </row>
    <row r="789" spans="1:23" ht="56.25">
      <c r="A789" s="147"/>
      <c r="B789" s="134"/>
      <c r="C789" s="147"/>
      <c r="D789" s="148"/>
      <c r="E789" s="48" t="s">
        <v>609</v>
      </c>
      <c r="F789" s="48"/>
      <c r="G789" s="48"/>
      <c r="H789" s="48"/>
      <c r="I789" s="24">
        <v>143000</v>
      </c>
      <c r="J789" s="17"/>
      <c r="K789" s="17"/>
      <c r="L789" s="17">
        <v>11440</v>
      </c>
      <c r="M789" s="17">
        <v>47190</v>
      </c>
      <c r="N789" s="17">
        <v>-58630</v>
      </c>
      <c r="O789" s="17"/>
      <c r="P789" s="17">
        <v>84370</v>
      </c>
      <c r="Q789" s="17"/>
      <c r="R789" s="17"/>
      <c r="S789" s="17"/>
      <c r="T789" s="17">
        <v>58630</v>
      </c>
      <c r="U789" s="17"/>
      <c r="V789" s="17">
        <f t="shared" si="93"/>
        <v>0</v>
      </c>
      <c r="W789" s="17"/>
    </row>
    <row r="790" spans="1:23" ht="56.25">
      <c r="A790" s="147"/>
      <c r="B790" s="134"/>
      <c r="C790" s="147"/>
      <c r="D790" s="148"/>
      <c r="E790" s="18" t="s">
        <v>855</v>
      </c>
      <c r="F790" s="18"/>
      <c r="G790" s="18"/>
      <c r="H790" s="18"/>
      <c r="I790" s="19">
        <f>SUM(I791:I797)</f>
        <v>11040000</v>
      </c>
      <c r="J790" s="19">
        <f aca="true" t="shared" si="95" ref="J790:W790">SUM(J791:J797)</f>
        <v>0</v>
      </c>
      <c r="K790" s="19">
        <f t="shared" si="95"/>
        <v>0</v>
      </c>
      <c r="L790" s="19">
        <f t="shared" si="95"/>
        <v>0</v>
      </c>
      <c r="M790" s="19">
        <f t="shared" si="95"/>
        <v>0</v>
      </c>
      <c r="N790" s="19">
        <f t="shared" si="95"/>
        <v>1509450</v>
      </c>
      <c r="O790" s="19">
        <f t="shared" si="95"/>
        <v>0</v>
      </c>
      <c r="P790" s="19">
        <f t="shared" si="95"/>
        <v>450000</v>
      </c>
      <c r="Q790" s="19">
        <f t="shared" si="95"/>
        <v>0</v>
      </c>
      <c r="R790" s="19">
        <f t="shared" si="95"/>
        <v>0</v>
      </c>
      <c r="S790" s="19">
        <f t="shared" si="95"/>
        <v>360000</v>
      </c>
      <c r="T790" s="19">
        <f t="shared" si="95"/>
        <v>7570550</v>
      </c>
      <c r="U790" s="19">
        <f t="shared" si="95"/>
        <v>1150000</v>
      </c>
      <c r="V790" s="19">
        <f t="shared" si="95"/>
        <v>0</v>
      </c>
      <c r="W790" s="19">
        <f t="shared" si="95"/>
        <v>1509450</v>
      </c>
    </row>
    <row r="791" spans="1:23" ht="56.25">
      <c r="A791" s="147"/>
      <c r="B791" s="134"/>
      <c r="C791" s="147"/>
      <c r="D791" s="148"/>
      <c r="E791" s="16" t="s">
        <v>260</v>
      </c>
      <c r="F791" s="16"/>
      <c r="G791" s="16"/>
      <c r="H791" s="16"/>
      <c r="I791" s="17">
        <f>1200000-450000</f>
        <v>750000</v>
      </c>
      <c r="J791" s="116"/>
      <c r="K791" s="116"/>
      <c r="L791" s="116"/>
      <c r="M791" s="116"/>
      <c r="N791" s="116"/>
      <c r="O791" s="116"/>
      <c r="P791" s="116"/>
      <c r="Q791" s="116"/>
      <c r="R791" s="116"/>
      <c r="S791" s="116">
        <v>360000</v>
      </c>
      <c r="T791" s="116">
        <f>840000-450000</f>
        <v>390000</v>
      </c>
      <c r="U791" s="116"/>
      <c r="V791" s="17">
        <f t="shared" si="93"/>
        <v>0</v>
      </c>
      <c r="W791" s="17"/>
    </row>
    <row r="792" spans="1:23" ht="56.25">
      <c r="A792" s="147"/>
      <c r="B792" s="134"/>
      <c r="C792" s="147"/>
      <c r="D792" s="148"/>
      <c r="E792" s="16" t="s">
        <v>610</v>
      </c>
      <c r="F792" s="16"/>
      <c r="G792" s="16"/>
      <c r="H792" s="16"/>
      <c r="I792" s="17">
        <f>2600000+330000</f>
        <v>2930000</v>
      </c>
      <c r="J792" s="116"/>
      <c r="K792" s="116"/>
      <c r="L792" s="116"/>
      <c r="M792" s="116"/>
      <c r="N792" s="116"/>
      <c r="O792" s="116"/>
      <c r="P792" s="116"/>
      <c r="Q792" s="116"/>
      <c r="R792" s="116"/>
      <c r="S792" s="116"/>
      <c r="T792" s="116">
        <v>2600000</v>
      </c>
      <c r="U792" s="116">
        <v>330000</v>
      </c>
      <c r="V792" s="17">
        <f t="shared" si="93"/>
        <v>0</v>
      </c>
      <c r="W792" s="17"/>
    </row>
    <row r="793" spans="1:23" ht="42" customHeight="1">
      <c r="A793" s="147"/>
      <c r="B793" s="134"/>
      <c r="C793" s="147"/>
      <c r="D793" s="148"/>
      <c r="E793" s="16" t="s">
        <v>611</v>
      </c>
      <c r="F793" s="16"/>
      <c r="G793" s="16"/>
      <c r="H793" s="16"/>
      <c r="I793" s="17">
        <f>1530000+190000</f>
        <v>1720000</v>
      </c>
      <c r="J793" s="116"/>
      <c r="K793" s="116"/>
      <c r="L793" s="116"/>
      <c r="M793" s="116"/>
      <c r="N793" s="116"/>
      <c r="O793" s="116"/>
      <c r="P793" s="116"/>
      <c r="Q793" s="116"/>
      <c r="R793" s="116"/>
      <c r="S793" s="116"/>
      <c r="T793" s="116">
        <v>1530000</v>
      </c>
      <c r="U793" s="116">
        <v>190000</v>
      </c>
      <c r="V793" s="17">
        <f t="shared" si="93"/>
        <v>0</v>
      </c>
      <c r="W793" s="17"/>
    </row>
    <row r="794" spans="1:23" ht="36" hidden="1">
      <c r="A794" s="147"/>
      <c r="B794" s="134"/>
      <c r="C794" s="147"/>
      <c r="D794" s="148"/>
      <c r="E794" s="16" t="s">
        <v>612</v>
      </c>
      <c r="F794" s="16"/>
      <c r="G794" s="16"/>
      <c r="H794" s="16"/>
      <c r="I794" s="17">
        <f>1390000-1390000</f>
        <v>0</v>
      </c>
      <c r="J794" s="116"/>
      <c r="K794" s="116"/>
      <c r="L794" s="116"/>
      <c r="M794" s="116"/>
      <c r="N794" s="116"/>
      <c r="O794" s="116"/>
      <c r="P794" s="116"/>
      <c r="Q794" s="116"/>
      <c r="R794" s="116"/>
      <c r="S794" s="116"/>
      <c r="T794" s="116"/>
      <c r="U794" s="116">
        <f>1390000-1390000</f>
        <v>0</v>
      </c>
      <c r="V794" s="17">
        <f t="shared" si="93"/>
        <v>0</v>
      </c>
      <c r="W794" s="17"/>
    </row>
    <row r="795" spans="1:23" ht="37.5">
      <c r="A795" s="147"/>
      <c r="B795" s="134"/>
      <c r="C795" s="147"/>
      <c r="D795" s="148"/>
      <c r="E795" s="16" t="s">
        <v>262</v>
      </c>
      <c r="F795" s="16"/>
      <c r="G795" s="16"/>
      <c r="H795" s="16"/>
      <c r="I795" s="17">
        <v>1510000</v>
      </c>
      <c r="J795" s="116"/>
      <c r="K795" s="116"/>
      <c r="L795" s="116"/>
      <c r="M795" s="116"/>
      <c r="N795" s="116">
        <v>1509450</v>
      </c>
      <c r="O795" s="116"/>
      <c r="P795" s="116"/>
      <c r="Q795" s="116"/>
      <c r="R795" s="116"/>
      <c r="S795" s="116"/>
      <c r="T795" s="116">
        <f>1510000-1509450</f>
        <v>550</v>
      </c>
      <c r="U795" s="116"/>
      <c r="V795" s="17">
        <f t="shared" si="93"/>
        <v>0</v>
      </c>
      <c r="W795" s="17">
        <v>1509450</v>
      </c>
    </row>
    <row r="796" spans="1:23" ht="18.75">
      <c r="A796" s="147"/>
      <c r="B796" s="134"/>
      <c r="C796" s="147"/>
      <c r="D796" s="148"/>
      <c r="E796" s="16" t="s">
        <v>613</v>
      </c>
      <c r="F796" s="16"/>
      <c r="G796" s="16"/>
      <c r="H796" s="16"/>
      <c r="I796" s="17">
        <f>2000000+630000</f>
        <v>2630000</v>
      </c>
      <c r="J796" s="116"/>
      <c r="K796" s="116"/>
      <c r="L796" s="116"/>
      <c r="M796" s="116"/>
      <c r="N796" s="116"/>
      <c r="O796" s="116"/>
      <c r="P796" s="116"/>
      <c r="Q796" s="116"/>
      <c r="R796" s="116"/>
      <c r="S796" s="116"/>
      <c r="T796" s="116">
        <v>2000000</v>
      </c>
      <c r="U796" s="116">
        <v>630000</v>
      </c>
      <c r="V796" s="17">
        <f t="shared" si="93"/>
        <v>0</v>
      </c>
      <c r="W796" s="17"/>
    </row>
    <row r="797" spans="1:23" ht="37.5">
      <c r="A797" s="147"/>
      <c r="B797" s="134"/>
      <c r="C797" s="147"/>
      <c r="D797" s="148"/>
      <c r="E797" s="16" t="s">
        <v>827</v>
      </c>
      <c r="F797" s="16"/>
      <c r="G797" s="16"/>
      <c r="H797" s="16"/>
      <c r="I797" s="24">
        <v>1500000</v>
      </c>
      <c r="J797" s="116"/>
      <c r="K797" s="116"/>
      <c r="L797" s="116"/>
      <c r="M797" s="116"/>
      <c r="N797" s="116"/>
      <c r="O797" s="116"/>
      <c r="P797" s="116">
        <v>450000</v>
      </c>
      <c r="Q797" s="116"/>
      <c r="R797" s="116"/>
      <c r="S797" s="116"/>
      <c r="T797" s="116">
        <v>1050000</v>
      </c>
      <c r="U797" s="116"/>
      <c r="V797" s="17">
        <f aca="true" t="shared" si="96" ref="V797:V867">I797-J797-K797-L797-M797-N797-O797-P797-Q797-R797-S797-T797-U797</f>
        <v>0</v>
      </c>
      <c r="W797" s="17"/>
    </row>
    <row r="798" spans="1:23" ht="37.5">
      <c r="A798" s="147"/>
      <c r="B798" s="134"/>
      <c r="C798" s="147"/>
      <c r="D798" s="148"/>
      <c r="E798" s="18" t="s">
        <v>73</v>
      </c>
      <c r="F798" s="18"/>
      <c r="G798" s="18"/>
      <c r="H798" s="18"/>
      <c r="I798" s="50">
        <f>SUM(I799:I828)</f>
        <v>15739289.48</v>
      </c>
      <c r="J798" s="50">
        <f aca="true" t="shared" si="97" ref="J798:W798">SUM(J799:J828)</f>
        <v>0</v>
      </c>
      <c r="K798" s="50">
        <f t="shared" si="97"/>
        <v>300000</v>
      </c>
      <c r="L798" s="50">
        <f t="shared" si="97"/>
        <v>1205000</v>
      </c>
      <c r="M798" s="50">
        <f t="shared" si="97"/>
        <v>961800</v>
      </c>
      <c r="N798" s="50">
        <f t="shared" si="97"/>
        <v>180949.03000000003</v>
      </c>
      <c r="O798" s="50">
        <f t="shared" si="97"/>
        <v>0</v>
      </c>
      <c r="P798" s="50">
        <f t="shared" si="97"/>
        <v>2928750.97</v>
      </c>
      <c r="Q798" s="50">
        <f t="shared" si="97"/>
        <v>2144756</v>
      </c>
      <c r="R798" s="50">
        <f t="shared" si="97"/>
        <v>4034700</v>
      </c>
      <c r="S798" s="50">
        <f t="shared" si="97"/>
        <v>1600000</v>
      </c>
      <c r="T798" s="50">
        <f t="shared" si="97"/>
        <v>1461244</v>
      </c>
      <c r="U798" s="50">
        <f t="shared" si="97"/>
        <v>922089.48</v>
      </c>
      <c r="V798" s="50">
        <f t="shared" si="97"/>
        <v>-7.275957614183426E-12</v>
      </c>
      <c r="W798" s="50">
        <f t="shared" si="97"/>
        <v>2633517.25</v>
      </c>
    </row>
    <row r="799" spans="1:23" ht="37.5">
      <c r="A799" s="147"/>
      <c r="B799" s="134"/>
      <c r="C799" s="147"/>
      <c r="D799" s="148"/>
      <c r="E799" s="16" t="s">
        <v>614</v>
      </c>
      <c r="F799" s="16"/>
      <c r="G799" s="16"/>
      <c r="H799" s="16"/>
      <c r="I799" s="24">
        <v>40000</v>
      </c>
      <c r="J799" s="17"/>
      <c r="K799" s="17"/>
      <c r="L799" s="17"/>
      <c r="M799" s="17"/>
      <c r="N799" s="17">
        <v>40000</v>
      </c>
      <c r="O799" s="17"/>
      <c r="P799" s="17"/>
      <c r="Q799" s="17"/>
      <c r="R799" s="17"/>
      <c r="S799" s="17"/>
      <c r="T799" s="17">
        <f>40000-40000</f>
        <v>0</v>
      </c>
      <c r="U799" s="17"/>
      <c r="V799" s="17">
        <f t="shared" si="96"/>
        <v>0</v>
      </c>
      <c r="W799" s="17">
        <f>35740.38</f>
        <v>35740.38</v>
      </c>
    </row>
    <row r="800" spans="1:23" ht="37.5">
      <c r="A800" s="147"/>
      <c r="B800" s="134"/>
      <c r="C800" s="147"/>
      <c r="D800" s="148"/>
      <c r="E800" s="16" t="s">
        <v>615</v>
      </c>
      <c r="F800" s="16"/>
      <c r="G800" s="16"/>
      <c r="H800" s="16"/>
      <c r="I800" s="24">
        <v>822089.48</v>
      </c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>
        <v>822089.48</v>
      </c>
      <c r="V800" s="17">
        <f t="shared" si="96"/>
        <v>0</v>
      </c>
      <c r="W800" s="17"/>
    </row>
    <row r="801" spans="1:23" ht="168.75">
      <c r="A801" s="147"/>
      <c r="B801" s="134"/>
      <c r="C801" s="147"/>
      <c r="D801" s="148"/>
      <c r="E801" s="16" t="s">
        <v>1117</v>
      </c>
      <c r="F801" s="16"/>
      <c r="G801" s="16"/>
      <c r="H801" s="16"/>
      <c r="I801" s="24">
        <v>150000</v>
      </c>
      <c r="J801" s="17"/>
      <c r="K801" s="17">
        <v>150000</v>
      </c>
      <c r="L801" s="17"/>
      <c r="M801" s="17"/>
      <c r="N801" s="17">
        <v>-150000</v>
      </c>
      <c r="O801" s="17"/>
      <c r="P801" s="17">
        <v>150000</v>
      </c>
      <c r="Q801" s="17"/>
      <c r="R801" s="17"/>
      <c r="S801" s="17"/>
      <c r="T801" s="17"/>
      <c r="U801" s="17"/>
      <c r="V801" s="17">
        <f t="shared" si="96"/>
        <v>0</v>
      </c>
      <c r="W801" s="17"/>
    </row>
    <row r="802" spans="1:23" ht="168.75">
      <c r="A802" s="147"/>
      <c r="B802" s="134"/>
      <c r="C802" s="147"/>
      <c r="D802" s="148"/>
      <c r="E802" s="16" t="s">
        <v>1118</v>
      </c>
      <c r="F802" s="16"/>
      <c r="G802" s="16"/>
      <c r="H802" s="16"/>
      <c r="I802" s="24">
        <v>150000</v>
      </c>
      <c r="J802" s="17"/>
      <c r="K802" s="17">
        <v>150000</v>
      </c>
      <c r="L802" s="17"/>
      <c r="M802" s="17"/>
      <c r="N802" s="17">
        <v>-150000</v>
      </c>
      <c r="O802" s="17"/>
      <c r="P802" s="17">
        <v>150000</v>
      </c>
      <c r="Q802" s="17"/>
      <c r="R802" s="17"/>
      <c r="S802" s="17"/>
      <c r="T802" s="17"/>
      <c r="U802" s="17"/>
      <c r="V802" s="17">
        <f t="shared" si="96"/>
        <v>0</v>
      </c>
      <c r="W802" s="17"/>
    </row>
    <row r="803" spans="1:23" ht="75">
      <c r="A803" s="147"/>
      <c r="B803" s="134"/>
      <c r="C803" s="147"/>
      <c r="D803" s="148"/>
      <c r="E803" s="16" t="s">
        <v>16</v>
      </c>
      <c r="F803" s="16"/>
      <c r="G803" s="16"/>
      <c r="H803" s="16"/>
      <c r="I803" s="24">
        <v>250000</v>
      </c>
      <c r="J803" s="17"/>
      <c r="K803" s="17"/>
      <c r="L803" s="17"/>
      <c r="M803" s="17"/>
      <c r="N803" s="17"/>
      <c r="O803" s="17"/>
      <c r="P803" s="17">
        <v>50000</v>
      </c>
      <c r="Q803" s="17"/>
      <c r="R803" s="17">
        <v>50000</v>
      </c>
      <c r="S803" s="17">
        <v>50000</v>
      </c>
      <c r="T803" s="17">
        <v>50000</v>
      </c>
      <c r="U803" s="17">
        <v>50000</v>
      </c>
      <c r="V803" s="17">
        <f t="shared" si="96"/>
        <v>0</v>
      </c>
      <c r="W803" s="17"/>
    </row>
    <row r="804" spans="1:23" ht="75">
      <c r="A804" s="147"/>
      <c r="B804" s="134"/>
      <c r="C804" s="147"/>
      <c r="D804" s="148"/>
      <c r="E804" s="16" t="s">
        <v>17</v>
      </c>
      <c r="F804" s="16"/>
      <c r="G804" s="16"/>
      <c r="H804" s="16"/>
      <c r="I804" s="24">
        <v>250000</v>
      </c>
      <c r="J804" s="17"/>
      <c r="K804" s="17"/>
      <c r="L804" s="17"/>
      <c r="M804" s="17"/>
      <c r="N804" s="17"/>
      <c r="O804" s="17"/>
      <c r="P804" s="17">
        <v>50000</v>
      </c>
      <c r="Q804" s="17"/>
      <c r="R804" s="17">
        <v>50000</v>
      </c>
      <c r="S804" s="17">
        <v>50000</v>
      </c>
      <c r="T804" s="17">
        <v>50000</v>
      </c>
      <c r="U804" s="17">
        <v>50000</v>
      </c>
      <c r="V804" s="17">
        <f t="shared" si="96"/>
        <v>0</v>
      </c>
      <c r="W804" s="17"/>
    </row>
    <row r="805" spans="1:23" ht="72" hidden="1">
      <c r="A805" s="147"/>
      <c r="B805" s="134"/>
      <c r="C805" s="147"/>
      <c r="D805" s="148"/>
      <c r="E805" s="52" t="s">
        <v>802</v>
      </c>
      <c r="F805" s="52"/>
      <c r="G805" s="52"/>
      <c r="H805" s="52"/>
      <c r="I805" s="24">
        <f>464000-464000</f>
        <v>0</v>
      </c>
      <c r="J805" s="17"/>
      <c r="K805" s="17"/>
      <c r="L805" s="17"/>
      <c r="M805" s="17">
        <f>232000-232000</f>
        <v>0</v>
      </c>
      <c r="N805" s="17"/>
      <c r="O805" s="17"/>
      <c r="P805" s="17">
        <f>232000-232000</f>
        <v>0</v>
      </c>
      <c r="Q805" s="17"/>
      <c r="R805" s="17"/>
      <c r="S805" s="17"/>
      <c r="T805" s="17"/>
      <c r="U805" s="17"/>
      <c r="V805" s="17">
        <f>I805-J805-K805-L805-M805-N805-O805-P805-Q805-R805-S805-T805-U805</f>
        <v>0</v>
      </c>
      <c r="W805" s="17"/>
    </row>
    <row r="806" spans="1:23" ht="93.75">
      <c r="A806" s="147"/>
      <c r="B806" s="134"/>
      <c r="C806" s="147"/>
      <c r="D806" s="148"/>
      <c r="E806" s="52" t="s">
        <v>297</v>
      </c>
      <c r="F806" s="52"/>
      <c r="G806" s="52"/>
      <c r="H806" s="52"/>
      <c r="I806" s="24">
        <v>232000</v>
      </c>
      <c r="J806" s="17"/>
      <c r="K806" s="17"/>
      <c r="L806" s="17"/>
      <c r="M806" s="17"/>
      <c r="N806" s="17"/>
      <c r="O806" s="17"/>
      <c r="P806" s="17">
        <v>232000</v>
      </c>
      <c r="Q806" s="17"/>
      <c r="R806" s="17"/>
      <c r="S806" s="17"/>
      <c r="T806" s="17"/>
      <c r="U806" s="17"/>
      <c r="V806" s="17">
        <f>I806-J806-K806-L806-M806-N806-O806-P806-Q806-R806-S806-T806-U806</f>
        <v>0</v>
      </c>
      <c r="W806" s="17"/>
    </row>
    <row r="807" spans="1:23" ht="93.75">
      <c r="A807" s="147"/>
      <c r="B807" s="134"/>
      <c r="C807" s="147"/>
      <c r="D807" s="148"/>
      <c r="E807" s="52" t="s">
        <v>298</v>
      </c>
      <c r="F807" s="52"/>
      <c r="G807" s="52"/>
      <c r="H807" s="52"/>
      <c r="I807" s="24">
        <v>232000</v>
      </c>
      <c r="J807" s="17"/>
      <c r="K807" s="17"/>
      <c r="L807" s="17"/>
      <c r="M807" s="17">
        <v>232000</v>
      </c>
      <c r="N807" s="17">
        <v>-232000</v>
      </c>
      <c r="O807" s="17"/>
      <c r="P807" s="17">
        <v>232000</v>
      </c>
      <c r="Q807" s="17"/>
      <c r="R807" s="17"/>
      <c r="S807" s="17"/>
      <c r="T807" s="17"/>
      <c r="U807" s="17"/>
      <c r="V807" s="17">
        <f>I807-J807-K807-L807-M807-N807-O807-P807-Q807-R807-S807-T807-U807</f>
        <v>0</v>
      </c>
      <c r="W807" s="17"/>
    </row>
    <row r="808" spans="1:23" ht="93.75">
      <c r="A808" s="147"/>
      <c r="B808" s="134"/>
      <c r="C808" s="147"/>
      <c r="D808" s="148"/>
      <c r="E808" s="52" t="s">
        <v>807</v>
      </c>
      <c r="F808" s="52"/>
      <c r="G808" s="52"/>
      <c r="H808" s="52"/>
      <c r="I808" s="24">
        <v>100000</v>
      </c>
      <c r="J808" s="17"/>
      <c r="K808" s="17"/>
      <c r="L808" s="17"/>
      <c r="M808" s="17">
        <v>50000</v>
      </c>
      <c r="N808" s="17">
        <v>-50000</v>
      </c>
      <c r="O808" s="17"/>
      <c r="P808" s="17">
        <f>50000+50000</f>
        <v>100000</v>
      </c>
      <c r="Q808" s="17"/>
      <c r="R808" s="17"/>
      <c r="S808" s="17"/>
      <c r="T808" s="17"/>
      <c r="U808" s="17"/>
      <c r="V808" s="17">
        <f t="shared" si="96"/>
        <v>0</v>
      </c>
      <c r="W808" s="17"/>
    </row>
    <row r="809" spans="1:23" ht="37.5">
      <c r="A809" s="147"/>
      <c r="B809" s="134"/>
      <c r="C809" s="147"/>
      <c r="D809" s="148"/>
      <c r="E809" s="16" t="s">
        <v>18</v>
      </c>
      <c r="F809" s="16"/>
      <c r="G809" s="16"/>
      <c r="H809" s="16"/>
      <c r="I809" s="24">
        <f>10920000-262000</f>
        <v>10658000</v>
      </c>
      <c r="J809" s="17"/>
      <c r="K809" s="17"/>
      <c r="L809" s="17">
        <v>658000</v>
      </c>
      <c r="M809" s="17"/>
      <c r="N809" s="17">
        <v>1802521.3</v>
      </c>
      <c r="O809" s="17"/>
      <c r="P809" s="17">
        <f>1895900-1802521.3</f>
        <v>93378.69999999995</v>
      </c>
      <c r="Q809" s="17">
        <v>1642156</v>
      </c>
      <c r="R809" s="17">
        <v>3600700</v>
      </c>
      <c r="S809" s="17">
        <v>1500000</v>
      </c>
      <c r="T809" s="17">
        <v>1361244</v>
      </c>
      <c r="U809" s="17"/>
      <c r="V809" s="17">
        <f t="shared" si="96"/>
        <v>0</v>
      </c>
      <c r="W809" s="17">
        <f>106936.09+2353585.21</f>
        <v>2460521.3</v>
      </c>
    </row>
    <row r="810" spans="1:23" ht="75">
      <c r="A810" s="147"/>
      <c r="B810" s="134"/>
      <c r="C810" s="147"/>
      <c r="D810" s="148"/>
      <c r="E810" s="16" t="s">
        <v>472</v>
      </c>
      <c r="F810" s="101"/>
      <c r="G810" s="76"/>
      <c r="H810" s="101"/>
      <c r="I810" s="24">
        <v>336000</v>
      </c>
      <c r="J810" s="17"/>
      <c r="K810" s="17"/>
      <c r="L810" s="17"/>
      <c r="M810" s="17">
        <v>168000</v>
      </c>
      <c r="N810" s="17">
        <v>-168000</v>
      </c>
      <c r="O810" s="17"/>
      <c r="P810" s="17">
        <f>168000+168000</f>
        <v>336000</v>
      </c>
      <c r="Q810" s="17"/>
      <c r="R810" s="17"/>
      <c r="S810" s="17"/>
      <c r="T810" s="17"/>
      <c r="U810" s="17"/>
      <c r="V810" s="17">
        <f t="shared" si="96"/>
        <v>0</v>
      </c>
      <c r="W810" s="17"/>
    </row>
    <row r="811" spans="1:23" ht="75">
      <c r="A811" s="147"/>
      <c r="B811" s="134"/>
      <c r="C811" s="147"/>
      <c r="D811" s="148"/>
      <c r="E811" s="16" t="s">
        <v>19</v>
      </c>
      <c r="F811" s="16"/>
      <c r="G811" s="16"/>
      <c r="H811" s="16"/>
      <c r="I811" s="24">
        <v>232000</v>
      </c>
      <c r="J811" s="17"/>
      <c r="K811" s="17"/>
      <c r="L811" s="17"/>
      <c r="M811" s="17">
        <v>116000</v>
      </c>
      <c r="N811" s="17">
        <v>-116000</v>
      </c>
      <c r="O811" s="17"/>
      <c r="P811" s="17">
        <f>116000+116000</f>
        <v>232000</v>
      </c>
      <c r="Q811" s="17"/>
      <c r="R811" s="17"/>
      <c r="S811" s="17"/>
      <c r="T811" s="17"/>
      <c r="U811" s="17"/>
      <c r="V811" s="17">
        <f t="shared" si="96"/>
        <v>0</v>
      </c>
      <c r="W811" s="17"/>
    </row>
    <row r="812" spans="1:23" ht="56.25">
      <c r="A812" s="147"/>
      <c r="B812" s="134"/>
      <c r="C812" s="147"/>
      <c r="D812" s="148"/>
      <c r="E812" s="16" t="s">
        <v>1077</v>
      </c>
      <c r="F812" s="16"/>
      <c r="G812" s="16"/>
      <c r="H812" s="16"/>
      <c r="I812" s="24">
        <f>170000-126000</f>
        <v>44000</v>
      </c>
      <c r="J812" s="17"/>
      <c r="K812" s="17"/>
      <c r="L812" s="17"/>
      <c r="M812" s="17">
        <v>85000</v>
      </c>
      <c r="N812" s="17">
        <v>-43633.35</v>
      </c>
      <c r="O812" s="17"/>
      <c r="P812" s="17">
        <f>85000+43633.35-126000</f>
        <v>2633.350000000006</v>
      </c>
      <c r="Q812" s="17"/>
      <c r="R812" s="17"/>
      <c r="S812" s="17"/>
      <c r="T812" s="17"/>
      <c r="U812" s="17"/>
      <c r="V812" s="17">
        <f t="shared" si="96"/>
        <v>-7.275957614183426E-12</v>
      </c>
      <c r="W812" s="17">
        <f>2803.5+28590.99</f>
        <v>31394.49</v>
      </c>
    </row>
    <row r="813" spans="1:23" ht="75">
      <c r="A813" s="147"/>
      <c r="B813" s="134"/>
      <c r="C813" s="147"/>
      <c r="D813" s="148"/>
      <c r="E813" s="16" t="s">
        <v>846</v>
      </c>
      <c r="F813" s="16"/>
      <c r="G813" s="16"/>
      <c r="H813" s="16"/>
      <c r="I813" s="24">
        <v>129200</v>
      </c>
      <c r="J813" s="17"/>
      <c r="K813" s="17"/>
      <c r="L813" s="17">
        <v>64600</v>
      </c>
      <c r="M813" s="17"/>
      <c r="N813" s="17">
        <v>-64600</v>
      </c>
      <c r="O813" s="17"/>
      <c r="P813" s="17">
        <v>64600</v>
      </c>
      <c r="Q813" s="17">
        <v>64600</v>
      </c>
      <c r="R813" s="17"/>
      <c r="S813" s="17"/>
      <c r="T813" s="17"/>
      <c r="U813" s="17"/>
      <c r="V813" s="17">
        <f t="shared" si="96"/>
        <v>0</v>
      </c>
      <c r="W813" s="17"/>
    </row>
    <row r="814" spans="1:23" ht="75">
      <c r="A814" s="147"/>
      <c r="B814" s="134"/>
      <c r="C814" s="147"/>
      <c r="D814" s="148"/>
      <c r="E814" s="52" t="s">
        <v>159</v>
      </c>
      <c r="F814" s="52"/>
      <c r="G814" s="52"/>
      <c r="H814" s="52"/>
      <c r="I814" s="24">
        <v>200000</v>
      </c>
      <c r="J814" s="17"/>
      <c r="K814" s="17"/>
      <c r="L814" s="17">
        <v>100000</v>
      </c>
      <c r="M814" s="17"/>
      <c r="N814" s="17">
        <v>-100000</v>
      </c>
      <c r="O814" s="17"/>
      <c r="P814" s="17">
        <v>100000</v>
      </c>
      <c r="Q814" s="17">
        <v>100000</v>
      </c>
      <c r="R814" s="17"/>
      <c r="S814" s="17"/>
      <c r="T814" s="17"/>
      <c r="U814" s="17"/>
      <c r="V814" s="17">
        <f t="shared" si="96"/>
        <v>0</v>
      </c>
      <c r="W814" s="17"/>
    </row>
    <row r="815" spans="1:23" ht="37.5">
      <c r="A815" s="147"/>
      <c r="B815" s="134"/>
      <c r="C815" s="147"/>
      <c r="D815" s="148"/>
      <c r="E815" s="52" t="s">
        <v>263</v>
      </c>
      <c r="F815" s="52"/>
      <c r="G815" s="52"/>
      <c r="H815" s="52"/>
      <c r="I815" s="24">
        <v>169000</v>
      </c>
      <c r="J815" s="17"/>
      <c r="K815" s="17"/>
      <c r="L815" s="17">
        <v>84500</v>
      </c>
      <c r="M815" s="17"/>
      <c r="N815" s="17">
        <v>-84500</v>
      </c>
      <c r="O815" s="17"/>
      <c r="P815" s="17">
        <v>84500</v>
      </c>
      <c r="Q815" s="17">
        <v>84500</v>
      </c>
      <c r="R815" s="17"/>
      <c r="S815" s="17"/>
      <c r="T815" s="17"/>
      <c r="U815" s="17"/>
      <c r="V815" s="17">
        <f t="shared" si="96"/>
        <v>0</v>
      </c>
      <c r="W815" s="17"/>
    </row>
    <row r="816" spans="1:23" ht="56.25">
      <c r="A816" s="147"/>
      <c r="B816" s="134"/>
      <c r="C816" s="147"/>
      <c r="D816" s="148"/>
      <c r="E816" s="52" t="s">
        <v>264</v>
      </c>
      <c r="F816" s="52"/>
      <c r="G816" s="52"/>
      <c r="H816" s="52"/>
      <c r="I816" s="24">
        <v>169000</v>
      </c>
      <c r="J816" s="17"/>
      <c r="K816" s="17"/>
      <c r="L816" s="17">
        <v>84500</v>
      </c>
      <c r="M816" s="17"/>
      <c r="N816" s="17">
        <v>-84500</v>
      </c>
      <c r="O816" s="17"/>
      <c r="P816" s="17">
        <v>84500</v>
      </c>
      <c r="Q816" s="17">
        <v>84500</v>
      </c>
      <c r="R816" s="17"/>
      <c r="S816" s="17"/>
      <c r="T816" s="17"/>
      <c r="U816" s="17"/>
      <c r="V816" s="17">
        <f t="shared" si="96"/>
        <v>0</v>
      </c>
      <c r="W816" s="17"/>
    </row>
    <row r="817" spans="1:23" ht="56.25">
      <c r="A817" s="147"/>
      <c r="B817" s="134"/>
      <c r="C817" s="147"/>
      <c r="D817" s="148"/>
      <c r="E817" s="52" t="s">
        <v>265</v>
      </c>
      <c r="F817" s="52"/>
      <c r="G817" s="52"/>
      <c r="H817" s="52"/>
      <c r="I817" s="24">
        <v>169000</v>
      </c>
      <c r="J817" s="17"/>
      <c r="K817" s="17"/>
      <c r="L817" s="17">
        <v>84500</v>
      </c>
      <c r="M817" s="17"/>
      <c r="N817" s="17">
        <v>-84500</v>
      </c>
      <c r="O817" s="17"/>
      <c r="P817" s="17">
        <v>84500</v>
      </c>
      <c r="Q817" s="17">
        <v>84500</v>
      </c>
      <c r="R817" s="17"/>
      <c r="S817" s="17"/>
      <c r="T817" s="17"/>
      <c r="U817" s="17"/>
      <c r="V817" s="17">
        <f t="shared" si="96"/>
        <v>0</v>
      </c>
      <c r="W817" s="17"/>
    </row>
    <row r="818" spans="1:23" ht="56.25">
      <c r="A818" s="147"/>
      <c r="B818" s="134"/>
      <c r="C818" s="147"/>
      <c r="D818" s="148"/>
      <c r="E818" s="52" t="s">
        <v>20</v>
      </c>
      <c r="F818" s="52"/>
      <c r="G818" s="52"/>
      <c r="H818" s="52"/>
      <c r="I818" s="24">
        <f>169000+145000</f>
        <v>314000</v>
      </c>
      <c r="J818" s="17"/>
      <c r="K818" s="17"/>
      <c r="L818" s="17">
        <v>84500</v>
      </c>
      <c r="M818" s="17"/>
      <c r="N818" s="17">
        <v>-74003.51</v>
      </c>
      <c r="O818" s="17"/>
      <c r="P818" s="17">
        <f>74003.51+145000</f>
        <v>219003.51</v>
      </c>
      <c r="Q818" s="17">
        <v>84500</v>
      </c>
      <c r="R818" s="17"/>
      <c r="S818" s="17"/>
      <c r="T818" s="17"/>
      <c r="U818" s="17"/>
      <c r="V818" s="17">
        <f t="shared" si="96"/>
        <v>0</v>
      </c>
      <c r="W818" s="17">
        <f>10496.49</f>
        <v>10496.49</v>
      </c>
    </row>
    <row r="819" spans="1:23" ht="56.25">
      <c r="A819" s="147"/>
      <c r="B819" s="134"/>
      <c r="C819" s="147"/>
      <c r="D819" s="148"/>
      <c r="E819" s="52" t="s">
        <v>828</v>
      </c>
      <c r="F819" s="52"/>
      <c r="G819" s="52"/>
      <c r="H819" s="52"/>
      <c r="I819" s="24">
        <f>168000-19000</f>
        <v>149000</v>
      </c>
      <c r="J819" s="17"/>
      <c r="K819" s="17"/>
      <c r="L819" s="17"/>
      <c r="M819" s="17"/>
      <c r="N819" s="17">
        <v>95364.59</v>
      </c>
      <c r="O819" s="17"/>
      <c r="P819" s="17">
        <f>84000-11364.59-19000</f>
        <v>53635.41</v>
      </c>
      <c r="Q819" s="17"/>
      <c r="R819" s="17">
        <f>84000-84000</f>
        <v>0</v>
      </c>
      <c r="S819" s="17"/>
      <c r="T819" s="17"/>
      <c r="U819" s="17"/>
      <c r="V819" s="17">
        <f t="shared" si="96"/>
        <v>0</v>
      </c>
      <c r="W819" s="17">
        <f>95364.59</f>
        <v>95364.59</v>
      </c>
    </row>
    <row r="820" spans="1:23" ht="43.5" customHeight="1">
      <c r="A820" s="147"/>
      <c r="B820" s="134"/>
      <c r="C820" s="147"/>
      <c r="D820" s="148"/>
      <c r="E820" s="52" t="s">
        <v>1110</v>
      </c>
      <c r="F820" s="52"/>
      <c r="G820" s="52"/>
      <c r="H820" s="52"/>
      <c r="I820" s="24">
        <v>168000</v>
      </c>
      <c r="J820" s="17"/>
      <c r="K820" s="17"/>
      <c r="L820" s="17"/>
      <c r="M820" s="17"/>
      <c r="N820" s="17"/>
      <c r="O820" s="17"/>
      <c r="P820" s="17">
        <v>84000</v>
      </c>
      <c r="Q820" s="17"/>
      <c r="R820" s="17">
        <v>84000</v>
      </c>
      <c r="S820" s="17"/>
      <c r="T820" s="17"/>
      <c r="U820" s="17"/>
      <c r="V820" s="17">
        <f t="shared" si="96"/>
        <v>0</v>
      </c>
      <c r="W820" s="17"/>
    </row>
    <row r="821" spans="1:23" ht="75">
      <c r="A821" s="147"/>
      <c r="B821" s="134"/>
      <c r="C821" s="147"/>
      <c r="D821" s="148"/>
      <c r="E821" s="52" t="s">
        <v>803</v>
      </c>
      <c r="F821" s="52"/>
      <c r="G821" s="52"/>
      <c r="H821" s="52"/>
      <c r="I821" s="24">
        <v>232000</v>
      </c>
      <c r="J821" s="17"/>
      <c r="K821" s="17"/>
      <c r="L821" s="17"/>
      <c r="M821" s="17"/>
      <c r="N821" s="17"/>
      <c r="O821" s="17"/>
      <c r="P821" s="17">
        <v>116000</v>
      </c>
      <c r="Q821" s="17"/>
      <c r="R821" s="17">
        <v>116000</v>
      </c>
      <c r="S821" s="17"/>
      <c r="T821" s="17"/>
      <c r="U821" s="17"/>
      <c r="V821" s="17">
        <f t="shared" si="96"/>
        <v>0</v>
      </c>
      <c r="W821" s="17"/>
    </row>
    <row r="822" spans="1:23" ht="54" hidden="1">
      <c r="A822" s="147"/>
      <c r="B822" s="134"/>
      <c r="C822" s="147"/>
      <c r="D822" s="148"/>
      <c r="E822" s="52" t="s">
        <v>804</v>
      </c>
      <c r="F822" s="52"/>
      <c r="G822" s="52"/>
      <c r="H822" s="52"/>
      <c r="I822" s="24">
        <f>232000-232000</f>
        <v>0</v>
      </c>
      <c r="J822" s="17"/>
      <c r="K822" s="17"/>
      <c r="L822" s="17"/>
      <c r="M822" s="17"/>
      <c r="N822" s="17"/>
      <c r="O822" s="17"/>
      <c r="P822" s="17">
        <f>116000-116000</f>
        <v>0</v>
      </c>
      <c r="Q822" s="17"/>
      <c r="R822" s="17">
        <f>116000-116000</f>
        <v>0</v>
      </c>
      <c r="S822" s="17"/>
      <c r="T822" s="17"/>
      <c r="U822" s="17"/>
      <c r="V822" s="17">
        <f t="shared" si="96"/>
        <v>0</v>
      </c>
      <c r="W822" s="17"/>
    </row>
    <row r="823" spans="1:23" ht="54" hidden="1">
      <c r="A823" s="147"/>
      <c r="B823" s="134"/>
      <c r="C823" s="147"/>
      <c r="D823" s="148"/>
      <c r="E823" s="52" t="s">
        <v>805</v>
      </c>
      <c r="F823" s="52"/>
      <c r="G823" s="52"/>
      <c r="H823" s="52"/>
      <c r="I823" s="24">
        <f>155000-155000</f>
        <v>0</v>
      </c>
      <c r="J823" s="17"/>
      <c r="K823" s="17"/>
      <c r="L823" s="17"/>
      <c r="M823" s="17"/>
      <c r="N823" s="17"/>
      <c r="O823" s="17"/>
      <c r="P823" s="17">
        <f>77500-77500</f>
        <v>0</v>
      </c>
      <c r="Q823" s="17"/>
      <c r="R823" s="17">
        <f>77500-77500</f>
        <v>0</v>
      </c>
      <c r="S823" s="17"/>
      <c r="T823" s="17"/>
      <c r="U823" s="17"/>
      <c r="V823" s="17">
        <f t="shared" si="96"/>
        <v>0</v>
      </c>
      <c r="W823" s="17"/>
    </row>
    <row r="824" spans="1:23" ht="54" hidden="1">
      <c r="A824" s="147"/>
      <c r="B824" s="134"/>
      <c r="C824" s="147"/>
      <c r="D824" s="148"/>
      <c r="E824" s="52" t="s">
        <v>806</v>
      </c>
      <c r="F824" s="52"/>
      <c r="G824" s="52"/>
      <c r="H824" s="52"/>
      <c r="I824" s="24">
        <f>155000-155000</f>
        <v>0</v>
      </c>
      <c r="J824" s="17"/>
      <c r="K824" s="17"/>
      <c r="L824" s="17"/>
      <c r="M824" s="17"/>
      <c r="N824" s="17"/>
      <c r="O824" s="17"/>
      <c r="P824" s="17">
        <f>77500-77500</f>
        <v>0</v>
      </c>
      <c r="Q824" s="17"/>
      <c r="R824" s="17">
        <f>77500-77500</f>
        <v>0</v>
      </c>
      <c r="S824" s="17"/>
      <c r="T824" s="17"/>
      <c r="U824" s="17"/>
      <c r="V824" s="17">
        <f t="shared" si="96"/>
        <v>0</v>
      </c>
      <c r="W824" s="17"/>
    </row>
    <row r="825" spans="1:23" ht="75">
      <c r="A825" s="147"/>
      <c r="B825" s="134"/>
      <c r="C825" s="147"/>
      <c r="D825" s="148"/>
      <c r="E825" s="52" t="s">
        <v>808</v>
      </c>
      <c r="F825" s="52"/>
      <c r="G825" s="52"/>
      <c r="H825" s="52"/>
      <c r="I825" s="24">
        <v>100000</v>
      </c>
      <c r="J825" s="17"/>
      <c r="K825" s="17"/>
      <c r="L825" s="17"/>
      <c r="M825" s="17"/>
      <c r="N825" s="17"/>
      <c r="O825" s="17"/>
      <c r="P825" s="17">
        <v>50000</v>
      </c>
      <c r="Q825" s="17"/>
      <c r="R825" s="17">
        <v>50000</v>
      </c>
      <c r="S825" s="17"/>
      <c r="T825" s="17"/>
      <c r="U825" s="17"/>
      <c r="V825" s="17">
        <f t="shared" si="96"/>
        <v>0</v>
      </c>
      <c r="W825" s="17"/>
    </row>
    <row r="826" spans="1:23" ht="75">
      <c r="A826" s="147"/>
      <c r="B826" s="134"/>
      <c r="C826" s="147"/>
      <c r="D826" s="148"/>
      <c r="E826" s="52" t="s">
        <v>887</v>
      </c>
      <c r="F826" s="52"/>
      <c r="G826" s="52"/>
      <c r="H826" s="52"/>
      <c r="I826" s="24">
        <v>150000</v>
      </c>
      <c r="J826" s="17"/>
      <c r="K826" s="17"/>
      <c r="L826" s="17">
        <v>15000</v>
      </c>
      <c r="M826" s="17">
        <v>105000</v>
      </c>
      <c r="N826" s="17">
        <v>-120000</v>
      </c>
      <c r="O826" s="17"/>
      <c r="P826" s="17">
        <f>30000+36000</f>
        <v>66000</v>
      </c>
      <c r="Q826" s="17"/>
      <c r="R826" s="17">
        <v>84000</v>
      </c>
      <c r="S826" s="17"/>
      <c r="T826" s="17"/>
      <c r="U826" s="17"/>
      <c r="V826" s="17">
        <f>I826-J826-K826-L826-M826-N826-O826-P826-Q826-R826-S826-T826-U826</f>
        <v>0</v>
      </c>
      <c r="W826" s="17"/>
    </row>
    <row r="827" spans="1:23" ht="75">
      <c r="A827" s="147"/>
      <c r="B827" s="134"/>
      <c r="C827" s="147"/>
      <c r="D827" s="148"/>
      <c r="E827" s="52" t="s">
        <v>87</v>
      </c>
      <c r="F827" s="52"/>
      <c r="G827" s="52"/>
      <c r="H827" s="52"/>
      <c r="I827" s="24">
        <v>262000</v>
      </c>
      <c r="J827" s="17"/>
      <c r="K827" s="17"/>
      <c r="L827" s="17">
        <v>26200</v>
      </c>
      <c r="M827" s="17">
        <v>183400</v>
      </c>
      <c r="N827" s="17">
        <v>-209600</v>
      </c>
      <c r="O827" s="17"/>
      <c r="P827" s="17">
        <f>52400+209600</f>
        <v>262000</v>
      </c>
      <c r="Q827" s="17"/>
      <c r="R827" s="17"/>
      <c r="S827" s="17"/>
      <c r="T827" s="17"/>
      <c r="U827" s="17"/>
      <c r="V827" s="17">
        <f>I827-J827-K827-L827-M827-N827-O827-P827-Q827-R827-S827-T827-U827</f>
        <v>0</v>
      </c>
      <c r="W827" s="17"/>
    </row>
    <row r="828" spans="1:23" ht="75">
      <c r="A828" s="147"/>
      <c r="B828" s="134"/>
      <c r="C828" s="147"/>
      <c r="D828" s="148"/>
      <c r="E828" s="52" t="s">
        <v>886</v>
      </c>
      <c r="F828" s="52"/>
      <c r="G828" s="52"/>
      <c r="H828" s="52"/>
      <c r="I828" s="24">
        <v>32000</v>
      </c>
      <c r="J828" s="17"/>
      <c r="K828" s="17"/>
      <c r="L828" s="17">
        <v>3200</v>
      </c>
      <c r="M828" s="17">
        <v>22400</v>
      </c>
      <c r="N828" s="17">
        <v>-25600</v>
      </c>
      <c r="O828" s="17"/>
      <c r="P828" s="17">
        <f>6400+25600</f>
        <v>32000</v>
      </c>
      <c r="Q828" s="17"/>
      <c r="R828" s="17"/>
      <c r="S828" s="17"/>
      <c r="T828" s="17"/>
      <c r="U828" s="17"/>
      <c r="V828" s="17">
        <f>I828-J828-K828-L828-M828-N828-O828-P828-Q828-R828-S828-T828-U828</f>
        <v>0</v>
      </c>
      <c r="W828" s="17"/>
    </row>
    <row r="829" spans="1:23" ht="43.5" customHeight="1">
      <c r="A829" s="147"/>
      <c r="B829" s="134"/>
      <c r="C829" s="147"/>
      <c r="D829" s="148"/>
      <c r="E829" s="53" t="s">
        <v>74</v>
      </c>
      <c r="F829" s="53"/>
      <c r="G829" s="53"/>
      <c r="H829" s="53"/>
      <c r="I829" s="50">
        <f>SUM(I830:I843)</f>
        <v>1200000</v>
      </c>
      <c r="J829" s="50">
        <f aca="true" t="shared" si="98" ref="J829:W829">SUM(J830:J843)</f>
        <v>0</v>
      </c>
      <c r="K829" s="50">
        <f t="shared" si="98"/>
        <v>0</v>
      </c>
      <c r="L829" s="50">
        <f t="shared" si="98"/>
        <v>0</v>
      </c>
      <c r="M829" s="50">
        <f t="shared" si="98"/>
        <v>15000</v>
      </c>
      <c r="N829" s="50">
        <f t="shared" si="98"/>
        <v>0</v>
      </c>
      <c r="O829" s="50">
        <f t="shared" si="98"/>
        <v>0</v>
      </c>
      <c r="P829" s="50">
        <f t="shared" si="98"/>
        <v>80000</v>
      </c>
      <c r="Q829" s="50">
        <f t="shared" si="98"/>
        <v>150000</v>
      </c>
      <c r="R829" s="50">
        <f t="shared" si="98"/>
        <v>50000</v>
      </c>
      <c r="S829" s="50">
        <f t="shared" si="98"/>
        <v>0</v>
      </c>
      <c r="T829" s="50">
        <f t="shared" si="98"/>
        <v>100000</v>
      </c>
      <c r="U829" s="50">
        <f t="shared" si="98"/>
        <v>805000</v>
      </c>
      <c r="V829" s="50">
        <f t="shared" si="98"/>
        <v>0</v>
      </c>
      <c r="W829" s="50">
        <f t="shared" si="98"/>
        <v>14790</v>
      </c>
    </row>
    <row r="830" spans="1:23" ht="37.5">
      <c r="A830" s="147"/>
      <c r="B830" s="134"/>
      <c r="C830" s="147"/>
      <c r="D830" s="148"/>
      <c r="E830" s="52" t="s">
        <v>763</v>
      </c>
      <c r="F830" s="52"/>
      <c r="G830" s="52"/>
      <c r="H830" s="52"/>
      <c r="I830" s="24">
        <v>80000</v>
      </c>
      <c r="J830" s="17"/>
      <c r="K830" s="17"/>
      <c r="L830" s="17"/>
      <c r="M830" s="17"/>
      <c r="N830" s="17"/>
      <c r="O830" s="17"/>
      <c r="P830" s="17">
        <v>80000</v>
      </c>
      <c r="Q830" s="17"/>
      <c r="R830" s="17"/>
      <c r="S830" s="17"/>
      <c r="T830" s="17"/>
      <c r="U830" s="17"/>
      <c r="V830" s="17">
        <f t="shared" si="96"/>
        <v>0</v>
      </c>
      <c r="W830" s="17"/>
    </row>
    <row r="831" spans="1:23" ht="37.5">
      <c r="A831" s="147"/>
      <c r="B831" s="134"/>
      <c r="C831" s="147"/>
      <c r="D831" s="148"/>
      <c r="E831" s="52" t="s">
        <v>764</v>
      </c>
      <c r="F831" s="52"/>
      <c r="G831" s="52"/>
      <c r="H831" s="52"/>
      <c r="I831" s="24">
        <v>15000</v>
      </c>
      <c r="J831" s="17"/>
      <c r="K831" s="17"/>
      <c r="L831" s="17"/>
      <c r="M831" s="17">
        <v>15000</v>
      </c>
      <c r="N831" s="17"/>
      <c r="O831" s="17"/>
      <c r="P831" s="17"/>
      <c r="Q831" s="17"/>
      <c r="R831" s="17"/>
      <c r="S831" s="17"/>
      <c r="T831" s="17"/>
      <c r="U831" s="17"/>
      <c r="V831" s="17">
        <f t="shared" si="96"/>
        <v>0</v>
      </c>
      <c r="W831" s="17">
        <v>14790</v>
      </c>
    </row>
    <row r="832" spans="1:23" ht="37.5">
      <c r="A832" s="147"/>
      <c r="B832" s="134"/>
      <c r="C832" s="147"/>
      <c r="D832" s="148"/>
      <c r="E832" s="52" t="s">
        <v>765</v>
      </c>
      <c r="F832" s="52"/>
      <c r="G832" s="52"/>
      <c r="H832" s="52"/>
      <c r="I832" s="24">
        <v>10000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>
        <v>10000</v>
      </c>
      <c r="V832" s="17">
        <f t="shared" si="96"/>
        <v>0</v>
      </c>
      <c r="W832" s="17"/>
    </row>
    <row r="833" spans="1:23" ht="18.75">
      <c r="A833" s="147"/>
      <c r="B833" s="134"/>
      <c r="C833" s="147"/>
      <c r="D833" s="148"/>
      <c r="E833" s="52" t="s">
        <v>766</v>
      </c>
      <c r="F833" s="52"/>
      <c r="G833" s="52"/>
      <c r="H833" s="52"/>
      <c r="I833" s="24">
        <v>7000</v>
      </c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>
        <v>7000</v>
      </c>
      <c r="V833" s="17">
        <f t="shared" si="96"/>
        <v>0</v>
      </c>
      <c r="W833" s="17"/>
    </row>
    <row r="834" spans="1:23" ht="18.75">
      <c r="A834" s="147"/>
      <c r="B834" s="134"/>
      <c r="C834" s="147"/>
      <c r="D834" s="148"/>
      <c r="E834" s="52" t="s">
        <v>767</v>
      </c>
      <c r="F834" s="52"/>
      <c r="G834" s="52"/>
      <c r="H834" s="52"/>
      <c r="I834" s="24">
        <v>7000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>
        <v>7000</v>
      </c>
      <c r="V834" s="17">
        <f t="shared" si="96"/>
        <v>0</v>
      </c>
      <c r="W834" s="17"/>
    </row>
    <row r="835" spans="1:23" ht="37.5">
      <c r="A835" s="147"/>
      <c r="B835" s="134"/>
      <c r="C835" s="147"/>
      <c r="D835" s="148"/>
      <c r="E835" s="52" t="s">
        <v>798</v>
      </c>
      <c r="F835" s="52"/>
      <c r="G835" s="52"/>
      <c r="H835" s="52"/>
      <c r="I835" s="24">
        <v>81000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>
        <v>81000</v>
      </c>
      <c r="V835" s="17">
        <f t="shared" si="96"/>
        <v>0</v>
      </c>
      <c r="W835" s="17"/>
    </row>
    <row r="836" spans="1:23" ht="56.25">
      <c r="A836" s="147"/>
      <c r="B836" s="134"/>
      <c r="C836" s="147"/>
      <c r="D836" s="148"/>
      <c r="E836" s="52" t="s">
        <v>357</v>
      </c>
      <c r="F836" s="52"/>
      <c r="G836" s="52"/>
      <c r="H836" s="52"/>
      <c r="I836" s="24">
        <v>700000</v>
      </c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>
        <v>700000</v>
      </c>
      <c r="V836" s="17">
        <f t="shared" si="96"/>
        <v>0</v>
      </c>
      <c r="W836" s="17"/>
    </row>
    <row r="837" spans="1:23" ht="36" hidden="1">
      <c r="A837" s="147"/>
      <c r="B837" s="134"/>
      <c r="C837" s="147"/>
      <c r="D837" s="148"/>
      <c r="E837" s="52" t="s">
        <v>768</v>
      </c>
      <c r="F837" s="52"/>
      <c r="G837" s="52"/>
      <c r="H837" s="52"/>
      <c r="I837" s="24">
        <f>50000-50000</f>
        <v>0</v>
      </c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>
        <f>50000-50000</f>
        <v>0</v>
      </c>
      <c r="U837" s="17"/>
      <c r="V837" s="17">
        <f t="shared" si="96"/>
        <v>0</v>
      </c>
      <c r="W837" s="17"/>
    </row>
    <row r="838" spans="1:23" ht="56.25">
      <c r="A838" s="147"/>
      <c r="B838" s="134"/>
      <c r="C838" s="147"/>
      <c r="D838" s="148"/>
      <c r="E838" s="52" t="s">
        <v>769</v>
      </c>
      <c r="F838" s="52"/>
      <c r="G838" s="52"/>
      <c r="H838" s="52"/>
      <c r="I838" s="24">
        <v>50000</v>
      </c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>
        <v>50000</v>
      </c>
      <c r="U838" s="17"/>
      <c r="V838" s="17">
        <f t="shared" si="96"/>
        <v>0</v>
      </c>
      <c r="W838" s="17"/>
    </row>
    <row r="839" spans="1:23" ht="56.25">
      <c r="A839" s="147"/>
      <c r="B839" s="134"/>
      <c r="C839" s="147"/>
      <c r="D839" s="148"/>
      <c r="E839" s="52" t="s">
        <v>770</v>
      </c>
      <c r="F839" s="52"/>
      <c r="G839" s="52"/>
      <c r="H839" s="52"/>
      <c r="I839" s="24">
        <v>50000</v>
      </c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>
        <v>50000</v>
      </c>
      <c r="U839" s="17"/>
      <c r="V839" s="17">
        <f t="shared" si="96"/>
        <v>0</v>
      </c>
      <c r="W839" s="17"/>
    </row>
    <row r="840" spans="1:23" ht="56.25">
      <c r="A840" s="147"/>
      <c r="B840" s="134"/>
      <c r="C840" s="147"/>
      <c r="D840" s="148"/>
      <c r="E840" s="52" t="s">
        <v>771</v>
      </c>
      <c r="F840" s="52"/>
      <c r="G840" s="52"/>
      <c r="H840" s="52"/>
      <c r="I840" s="24">
        <v>50000</v>
      </c>
      <c r="J840" s="17"/>
      <c r="K840" s="17"/>
      <c r="L840" s="17"/>
      <c r="M840" s="17"/>
      <c r="N840" s="17"/>
      <c r="O840" s="17"/>
      <c r="P840" s="17"/>
      <c r="Q840" s="17">
        <v>50000</v>
      </c>
      <c r="R840" s="17"/>
      <c r="S840" s="17"/>
      <c r="T840" s="17"/>
      <c r="U840" s="17"/>
      <c r="V840" s="17">
        <f t="shared" si="96"/>
        <v>0</v>
      </c>
      <c r="W840" s="17"/>
    </row>
    <row r="841" spans="1:23" ht="75">
      <c r="A841" s="147"/>
      <c r="B841" s="134"/>
      <c r="C841" s="147"/>
      <c r="D841" s="148"/>
      <c r="E841" s="52" t="s">
        <v>1084</v>
      </c>
      <c r="F841" s="52"/>
      <c r="G841" s="52"/>
      <c r="H841" s="52"/>
      <c r="I841" s="24">
        <v>50000</v>
      </c>
      <c r="J841" s="17"/>
      <c r="K841" s="17"/>
      <c r="L841" s="17"/>
      <c r="M841" s="17"/>
      <c r="N841" s="17"/>
      <c r="O841" s="17"/>
      <c r="P841" s="17"/>
      <c r="Q841" s="17">
        <v>50000</v>
      </c>
      <c r="R841" s="17"/>
      <c r="S841" s="17"/>
      <c r="T841" s="17"/>
      <c r="U841" s="17"/>
      <c r="V841" s="17">
        <f t="shared" si="96"/>
        <v>0</v>
      </c>
      <c r="W841" s="17"/>
    </row>
    <row r="842" spans="1:23" ht="56.25">
      <c r="A842" s="147"/>
      <c r="B842" s="134"/>
      <c r="C842" s="147"/>
      <c r="D842" s="148"/>
      <c r="E842" s="52" t="s">
        <v>772</v>
      </c>
      <c r="F842" s="52"/>
      <c r="G842" s="52"/>
      <c r="H842" s="52"/>
      <c r="I842" s="24">
        <v>50000</v>
      </c>
      <c r="J842" s="17"/>
      <c r="K842" s="17"/>
      <c r="L842" s="17"/>
      <c r="M842" s="17"/>
      <c r="N842" s="17"/>
      <c r="O842" s="17"/>
      <c r="P842" s="17"/>
      <c r="Q842" s="17">
        <v>50000</v>
      </c>
      <c r="R842" s="17"/>
      <c r="S842" s="17"/>
      <c r="T842" s="17"/>
      <c r="U842" s="17"/>
      <c r="V842" s="17">
        <f t="shared" si="96"/>
        <v>0</v>
      </c>
      <c r="W842" s="17"/>
    </row>
    <row r="843" spans="1:23" ht="56.25">
      <c r="A843" s="147"/>
      <c r="B843" s="134"/>
      <c r="C843" s="147"/>
      <c r="D843" s="148"/>
      <c r="E843" s="52" t="s">
        <v>60</v>
      </c>
      <c r="F843" s="52"/>
      <c r="G843" s="52"/>
      <c r="H843" s="52"/>
      <c r="I843" s="24">
        <v>50000</v>
      </c>
      <c r="J843" s="17"/>
      <c r="K843" s="17"/>
      <c r="L843" s="17"/>
      <c r="M843" s="17"/>
      <c r="N843" s="17"/>
      <c r="O843" s="17"/>
      <c r="P843" s="17"/>
      <c r="Q843" s="17"/>
      <c r="R843" s="17">
        <v>50000</v>
      </c>
      <c r="S843" s="17"/>
      <c r="T843" s="17"/>
      <c r="U843" s="17"/>
      <c r="V843" s="17">
        <f t="shared" si="96"/>
        <v>0</v>
      </c>
      <c r="W843" s="17"/>
    </row>
    <row r="844" spans="1:23" ht="56.25">
      <c r="A844" s="147"/>
      <c r="B844" s="134"/>
      <c r="C844" s="147"/>
      <c r="D844" s="148"/>
      <c r="E844" s="18" t="s">
        <v>61</v>
      </c>
      <c r="F844" s="18"/>
      <c r="G844" s="18"/>
      <c r="H844" s="18"/>
      <c r="I844" s="50">
        <f>SUM(I845:I847)</f>
        <v>730698</v>
      </c>
      <c r="J844" s="50">
        <f aca="true" t="shared" si="99" ref="J844:W844">SUM(J845:J847)</f>
        <v>0</v>
      </c>
      <c r="K844" s="50">
        <f t="shared" si="99"/>
        <v>0</v>
      </c>
      <c r="L844" s="50">
        <f t="shared" si="99"/>
        <v>342781</v>
      </c>
      <c r="M844" s="50">
        <f t="shared" si="99"/>
        <v>240000</v>
      </c>
      <c r="N844" s="50">
        <f t="shared" si="99"/>
        <v>147917</v>
      </c>
      <c r="O844" s="50">
        <f t="shared" si="99"/>
        <v>-240000</v>
      </c>
      <c r="P844" s="50">
        <f t="shared" si="99"/>
        <v>0</v>
      </c>
      <c r="Q844" s="50">
        <f t="shared" si="99"/>
        <v>0</v>
      </c>
      <c r="R844" s="50">
        <f t="shared" si="99"/>
        <v>0</v>
      </c>
      <c r="S844" s="50">
        <f t="shared" si="99"/>
        <v>0</v>
      </c>
      <c r="T844" s="50">
        <f t="shared" si="99"/>
        <v>0</v>
      </c>
      <c r="U844" s="50">
        <f t="shared" si="99"/>
        <v>240000</v>
      </c>
      <c r="V844" s="50">
        <f t="shared" si="99"/>
        <v>0</v>
      </c>
      <c r="W844" s="50">
        <f t="shared" si="99"/>
        <v>93032</v>
      </c>
    </row>
    <row r="845" spans="1:23" ht="62.25" customHeight="1">
      <c r="A845" s="147"/>
      <c r="B845" s="134"/>
      <c r="C845" s="147"/>
      <c r="D845" s="148"/>
      <c r="E845" s="16" t="s">
        <v>9</v>
      </c>
      <c r="F845" s="16"/>
      <c r="G845" s="16"/>
      <c r="H845" s="16"/>
      <c r="I845" s="24">
        <v>447917</v>
      </c>
      <c r="J845" s="17"/>
      <c r="K845" s="17"/>
      <c r="L845" s="17">
        <v>300000</v>
      </c>
      <c r="M845" s="17"/>
      <c r="N845" s="17">
        <v>147917</v>
      </c>
      <c r="O845" s="17"/>
      <c r="P845" s="17"/>
      <c r="Q845" s="17"/>
      <c r="R845" s="17"/>
      <c r="S845" s="17"/>
      <c r="T845" s="17"/>
      <c r="U845" s="17"/>
      <c r="V845" s="17">
        <f t="shared" si="96"/>
        <v>0</v>
      </c>
      <c r="W845" s="17">
        <v>72078</v>
      </c>
    </row>
    <row r="846" spans="1:23" ht="62.25" customHeight="1">
      <c r="A846" s="147"/>
      <c r="B846" s="134"/>
      <c r="C846" s="147"/>
      <c r="D846" s="148"/>
      <c r="E846" s="16" t="s">
        <v>1064</v>
      </c>
      <c r="F846" s="16"/>
      <c r="G846" s="16"/>
      <c r="H846" s="16"/>
      <c r="I846" s="24">
        <v>240000</v>
      </c>
      <c r="J846" s="17"/>
      <c r="K846" s="17"/>
      <c r="L846" s="17"/>
      <c r="M846" s="17">
        <v>240000</v>
      </c>
      <c r="N846" s="17"/>
      <c r="O846" s="17">
        <v>-240000</v>
      </c>
      <c r="P846" s="17"/>
      <c r="Q846" s="17"/>
      <c r="R846" s="17"/>
      <c r="S846" s="17"/>
      <c r="T846" s="17"/>
      <c r="U846" s="17">
        <v>240000</v>
      </c>
      <c r="V846" s="17">
        <f t="shared" si="96"/>
        <v>0</v>
      </c>
      <c r="W846" s="17"/>
    </row>
    <row r="847" spans="1:23" ht="62.25" customHeight="1">
      <c r="A847" s="147"/>
      <c r="B847" s="134"/>
      <c r="C847" s="147"/>
      <c r="D847" s="148"/>
      <c r="E847" s="16" t="s">
        <v>11</v>
      </c>
      <c r="F847" s="16"/>
      <c r="G847" s="16"/>
      <c r="H847" s="16"/>
      <c r="I847" s="24">
        <v>42781</v>
      </c>
      <c r="J847" s="17"/>
      <c r="K847" s="17"/>
      <c r="L847" s="17">
        <v>42781</v>
      </c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6"/>
        <v>0</v>
      </c>
      <c r="W847" s="17">
        <v>20954</v>
      </c>
    </row>
    <row r="848" spans="1:23" ht="56.25">
      <c r="A848" s="147"/>
      <c r="B848" s="134"/>
      <c r="C848" s="147"/>
      <c r="D848" s="148"/>
      <c r="E848" s="18" t="s">
        <v>64</v>
      </c>
      <c r="F848" s="18"/>
      <c r="G848" s="18"/>
      <c r="H848" s="18"/>
      <c r="I848" s="50">
        <f>SUM(I849:I850)</f>
        <v>1460500</v>
      </c>
      <c r="J848" s="50">
        <f aca="true" t="shared" si="100" ref="J848:W848">SUM(J849:J850)</f>
        <v>0</v>
      </c>
      <c r="K848" s="50">
        <f t="shared" si="100"/>
        <v>0</v>
      </c>
      <c r="L848" s="50">
        <f t="shared" si="100"/>
        <v>0</v>
      </c>
      <c r="M848" s="50">
        <f t="shared" si="100"/>
        <v>600000</v>
      </c>
      <c r="N848" s="50">
        <f t="shared" si="100"/>
        <v>0</v>
      </c>
      <c r="O848" s="50">
        <f t="shared" si="100"/>
        <v>0</v>
      </c>
      <c r="P848" s="50">
        <f t="shared" si="100"/>
        <v>0</v>
      </c>
      <c r="Q848" s="50">
        <f t="shared" si="100"/>
        <v>500000</v>
      </c>
      <c r="R848" s="50">
        <f t="shared" si="100"/>
        <v>0</v>
      </c>
      <c r="S848" s="50">
        <f t="shared" si="100"/>
        <v>0</v>
      </c>
      <c r="T848" s="50">
        <f t="shared" si="100"/>
        <v>0</v>
      </c>
      <c r="U848" s="50">
        <f t="shared" si="100"/>
        <v>360500</v>
      </c>
      <c r="V848" s="50">
        <f t="shared" si="100"/>
        <v>0</v>
      </c>
      <c r="W848" s="50">
        <f t="shared" si="100"/>
        <v>73710.16</v>
      </c>
    </row>
    <row r="849" spans="1:23" ht="75">
      <c r="A849" s="147"/>
      <c r="B849" s="134"/>
      <c r="C849" s="147"/>
      <c r="D849" s="148"/>
      <c r="E849" s="16" t="s">
        <v>12</v>
      </c>
      <c r="F849" s="16"/>
      <c r="G849" s="16"/>
      <c r="H849" s="16"/>
      <c r="I849" s="24">
        <v>460500</v>
      </c>
      <c r="J849" s="17"/>
      <c r="K849" s="17"/>
      <c r="L849" s="17"/>
      <c r="M849" s="17">
        <v>100000</v>
      </c>
      <c r="N849" s="17"/>
      <c r="O849" s="17"/>
      <c r="P849" s="17"/>
      <c r="Q849" s="116"/>
      <c r="R849" s="116"/>
      <c r="S849" s="116"/>
      <c r="T849" s="116"/>
      <c r="U849" s="116">
        <f>460500-100000</f>
        <v>360500</v>
      </c>
      <c r="V849" s="17">
        <f t="shared" si="96"/>
        <v>0</v>
      </c>
      <c r="W849" s="17"/>
    </row>
    <row r="850" spans="1:23" ht="37.5">
      <c r="A850" s="147"/>
      <c r="B850" s="134"/>
      <c r="C850" s="147"/>
      <c r="D850" s="148"/>
      <c r="E850" s="16" t="s">
        <v>261</v>
      </c>
      <c r="F850" s="16"/>
      <c r="G850" s="16"/>
      <c r="H850" s="16"/>
      <c r="I850" s="24">
        <v>1000000</v>
      </c>
      <c r="J850" s="17"/>
      <c r="K850" s="17"/>
      <c r="L850" s="17"/>
      <c r="M850" s="17">
        <v>500000</v>
      </c>
      <c r="N850" s="17"/>
      <c r="O850" s="17"/>
      <c r="P850" s="17"/>
      <c r="Q850" s="116">
        <v>500000</v>
      </c>
      <c r="R850" s="116"/>
      <c r="S850" s="116">
        <f>500000-500000</f>
        <v>0</v>
      </c>
      <c r="T850" s="116"/>
      <c r="U850" s="116"/>
      <c r="V850" s="17">
        <f t="shared" si="96"/>
        <v>0</v>
      </c>
      <c r="W850" s="17">
        <f>69874.16+3836+18388.8-18388.8</f>
        <v>73710.16</v>
      </c>
    </row>
    <row r="851" spans="1:23" ht="37.5">
      <c r="A851" s="147"/>
      <c r="B851" s="134"/>
      <c r="C851" s="147"/>
      <c r="D851" s="148"/>
      <c r="E851" s="34" t="s">
        <v>573</v>
      </c>
      <c r="F851" s="34"/>
      <c r="G851" s="34"/>
      <c r="H851" s="34"/>
      <c r="I851" s="35">
        <f>SUM(I852:I865)</f>
        <v>10598600</v>
      </c>
      <c r="J851" s="35">
        <f aca="true" t="shared" si="101" ref="J851:W851">SUM(J852:J865)</f>
        <v>0</v>
      </c>
      <c r="K851" s="35">
        <f t="shared" si="101"/>
        <v>880000</v>
      </c>
      <c r="L851" s="35">
        <f t="shared" si="101"/>
        <v>50000</v>
      </c>
      <c r="M851" s="35">
        <f t="shared" si="101"/>
        <v>1258400</v>
      </c>
      <c r="N851" s="35">
        <f t="shared" si="101"/>
        <v>228600</v>
      </c>
      <c r="O851" s="35">
        <f t="shared" si="101"/>
        <v>5948600</v>
      </c>
      <c r="P851" s="35">
        <f t="shared" si="101"/>
        <v>260000</v>
      </c>
      <c r="Q851" s="35">
        <f t="shared" si="101"/>
        <v>440000</v>
      </c>
      <c r="R851" s="35">
        <f t="shared" si="101"/>
        <v>350000</v>
      </c>
      <c r="S851" s="35">
        <f t="shared" si="101"/>
        <v>48000</v>
      </c>
      <c r="T851" s="35">
        <f t="shared" si="101"/>
        <v>0</v>
      </c>
      <c r="U851" s="35">
        <f t="shared" si="101"/>
        <v>1135000</v>
      </c>
      <c r="V851" s="35">
        <f t="shared" si="101"/>
        <v>0</v>
      </c>
      <c r="W851" s="35">
        <f t="shared" si="101"/>
        <v>7687214.12</v>
      </c>
    </row>
    <row r="852" spans="1:23" ht="18.75">
      <c r="A852" s="147"/>
      <c r="B852" s="134"/>
      <c r="C852" s="147"/>
      <c r="D852" s="148"/>
      <c r="E852" s="111" t="s">
        <v>978</v>
      </c>
      <c r="F852" s="36"/>
      <c r="G852" s="36"/>
      <c r="H852" s="36"/>
      <c r="I852" s="30">
        <v>48000</v>
      </c>
      <c r="J852" s="17"/>
      <c r="K852" s="17"/>
      <c r="L852" s="17"/>
      <c r="M852" s="17"/>
      <c r="N852" s="17">
        <v>48000</v>
      </c>
      <c r="O852" s="17"/>
      <c r="P852" s="17"/>
      <c r="Q852" s="17"/>
      <c r="R852" s="17"/>
      <c r="S852" s="17">
        <f>48000-48000</f>
        <v>0</v>
      </c>
      <c r="T852" s="17"/>
      <c r="U852" s="17"/>
      <c r="V852" s="17">
        <f t="shared" si="96"/>
        <v>0</v>
      </c>
      <c r="W852" s="17"/>
    </row>
    <row r="853" spans="1:23" ht="37.5">
      <c r="A853" s="147"/>
      <c r="B853" s="134"/>
      <c r="C853" s="147"/>
      <c r="D853" s="148"/>
      <c r="E853" s="111" t="s">
        <v>587</v>
      </c>
      <c r="F853" s="36"/>
      <c r="G853" s="36"/>
      <c r="H853" s="36"/>
      <c r="I853" s="30">
        <f>40000+400000</f>
        <v>440000</v>
      </c>
      <c r="J853" s="17"/>
      <c r="K853" s="17"/>
      <c r="L853" s="17"/>
      <c r="M853" s="17"/>
      <c r="N853" s="17">
        <v>440000</v>
      </c>
      <c r="O853" s="17"/>
      <c r="P853" s="17"/>
      <c r="Q853" s="17">
        <f>440000-440000</f>
        <v>0</v>
      </c>
      <c r="R853" s="17"/>
      <c r="S853" s="17"/>
      <c r="T853" s="17"/>
      <c r="U853" s="17"/>
      <c r="V853" s="17">
        <f t="shared" si="96"/>
        <v>0</v>
      </c>
      <c r="W853" s="17">
        <v>434140</v>
      </c>
    </row>
    <row r="854" spans="1:23" ht="37.5">
      <c r="A854" s="147"/>
      <c r="B854" s="134"/>
      <c r="C854" s="147"/>
      <c r="D854" s="148"/>
      <c r="E854" s="111" t="s">
        <v>180</v>
      </c>
      <c r="F854" s="36"/>
      <c r="G854" s="36"/>
      <c r="H854" s="36"/>
      <c r="I854" s="30">
        <v>362000</v>
      </c>
      <c r="J854" s="17"/>
      <c r="K854" s="17"/>
      <c r="L854" s="17"/>
      <c r="M854" s="17">
        <f>253400+108600</f>
        <v>362000</v>
      </c>
      <c r="N854" s="17">
        <f>108600-108600</f>
        <v>0</v>
      </c>
      <c r="O854" s="17"/>
      <c r="P854" s="17"/>
      <c r="Q854" s="17"/>
      <c r="R854" s="17"/>
      <c r="S854" s="17"/>
      <c r="T854" s="17"/>
      <c r="U854" s="17"/>
      <c r="V854" s="17">
        <f t="shared" si="96"/>
        <v>0</v>
      </c>
      <c r="W854" s="17">
        <v>320000</v>
      </c>
    </row>
    <row r="855" spans="1:23" ht="56.25">
      <c r="A855" s="147"/>
      <c r="B855" s="134"/>
      <c r="C855" s="147"/>
      <c r="D855" s="148"/>
      <c r="E855" s="111" t="s">
        <v>181</v>
      </c>
      <c r="F855" s="36"/>
      <c r="G855" s="36"/>
      <c r="H855" s="36"/>
      <c r="I855" s="30">
        <f>50000+300000</f>
        <v>350000</v>
      </c>
      <c r="J855" s="17"/>
      <c r="K855" s="17"/>
      <c r="L855" s="17"/>
      <c r="M855" s="17"/>
      <c r="N855" s="17"/>
      <c r="O855" s="17"/>
      <c r="P855" s="17"/>
      <c r="Q855" s="17"/>
      <c r="R855" s="17">
        <v>350000</v>
      </c>
      <c r="S855" s="17"/>
      <c r="T855" s="17"/>
      <c r="U855" s="17"/>
      <c r="V855" s="17">
        <f t="shared" si="96"/>
        <v>0</v>
      </c>
      <c r="W855" s="17"/>
    </row>
    <row r="856" spans="1:23" ht="117" customHeight="1">
      <c r="A856" s="147"/>
      <c r="B856" s="134"/>
      <c r="C856" s="147"/>
      <c r="D856" s="148"/>
      <c r="E856" s="36" t="s">
        <v>516</v>
      </c>
      <c r="F856" s="36"/>
      <c r="G856" s="36"/>
      <c r="H856" s="36"/>
      <c r="I856" s="30">
        <v>15000</v>
      </c>
      <c r="J856" s="17"/>
      <c r="K856" s="17">
        <v>15000</v>
      </c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t="shared" si="96"/>
        <v>0</v>
      </c>
      <c r="W856" s="17"/>
    </row>
    <row r="857" spans="1:23" ht="136.5" customHeight="1">
      <c r="A857" s="147"/>
      <c r="B857" s="134"/>
      <c r="C857" s="147"/>
      <c r="D857" s="148"/>
      <c r="E857" s="36" t="s">
        <v>689</v>
      </c>
      <c r="F857" s="36"/>
      <c r="G857" s="36"/>
      <c r="H857" s="36"/>
      <c r="I857" s="30">
        <v>15000</v>
      </c>
      <c r="J857" s="17"/>
      <c r="K857" s="17">
        <v>15000</v>
      </c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96"/>
        <v>0</v>
      </c>
      <c r="W857" s="17">
        <v>15000</v>
      </c>
    </row>
    <row r="858" spans="1:23" ht="195" customHeight="1">
      <c r="A858" s="147"/>
      <c r="B858" s="134"/>
      <c r="C858" s="147"/>
      <c r="D858" s="148"/>
      <c r="E858" s="36" t="s">
        <v>928</v>
      </c>
      <c r="F858" s="36"/>
      <c r="G858" s="36"/>
      <c r="H858" s="36"/>
      <c r="I858" s="30">
        <v>850000</v>
      </c>
      <c r="J858" s="17"/>
      <c r="K858" s="17">
        <v>850000</v>
      </c>
      <c r="L858" s="17"/>
      <c r="M858" s="17"/>
      <c r="N858" s="17">
        <v>-488000</v>
      </c>
      <c r="O858" s="17"/>
      <c r="P858" s="17"/>
      <c r="Q858" s="17">
        <v>440000</v>
      </c>
      <c r="R858" s="17"/>
      <c r="S858" s="17">
        <v>48000</v>
      </c>
      <c r="T858" s="17"/>
      <c r="U858" s="17"/>
      <c r="V858" s="17">
        <f t="shared" si="96"/>
        <v>0</v>
      </c>
      <c r="W858" s="17">
        <v>254317.12</v>
      </c>
    </row>
    <row r="859" spans="1:23" ht="77.25" customHeight="1">
      <c r="A859" s="147"/>
      <c r="B859" s="134"/>
      <c r="C859" s="147"/>
      <c r="D859" s="148"/>
      <c r="E859" s="16" t="s">
        <v>659</v>
      </c>
      <c r="F859" s="16"/>
      <c r="G859" s="16"/>
      <c r="H859" s="16"/>
      <c r="I859" s="30">
        <v>85000</v>
      </c>
      <c r="J859" s="17"/>
      <c r="K859" s="17"/>
      <c r="L859" s="17"/>
      <c r="M859" s="17">
        <v>85000</v>
      </c>
      <c r="N859" s="17"/>
      <c r="O859" s="17"/>
      <c r="P859" s="17"/>
      <c r="Q859" s="17"/>
      <c r="R859" s="17"/>
      <c r="S859" s="17"/>
      <c r="T859" s="17"/>
      <c r="U859" s="17">
        <f>85000-85000</f>
        <v>0</v>
      </c>
      <c r="V859" s="17">
        <f t="shared" si="96"/>
        <v>0</v>
      </c>
      <c r="W859" s="17">
        <v>85000</v>
      </c>
    </row>
    <row r="860" spans="1:23" ht="56.25">
      <c r="A860" s="147"/>
      <c r="B860" s="134"/>
      <c r="C860" s="147"/>
      <c r="D860" s="148"/>
      <c r="E860" s="36" t="s">
        <v>660</v>
      </c>
      <c r="F860" s="36"/>
      <c r="G860" s="36"/>
      <c r="H860" s="36"/>
      <c r="I860" s="30">
        <f>7996000-2047400</f>
        <v>5948600</v>
      </c>
      <c r="J860" s="17"/>
      <c r="K860" s="17"/>
      <c r="L860" s="17"/>
      <c r="M860" s="17"/>
      <c r="N860" s="17"/>
      <c r="O860" s="17">
        <v>5948600</v>
      </c>
      <c r="P860" s="17"/>
      <c r="Q860" s="17"/>
      <c r="R860" s="17"/>
      <c r="S860" s="17"/>
      <c r="T860" s="17"/>
      <c r="U860" s="17">
        <f>7996000-2047400-5948600</f>
        <v>0</v>
      </c>
      <c r="V860" s="17">
        <f t="shared" si="96"/>
        <v>0</v>
      </c>
      <c r="W860" s="17">
        <v>5800000</v>
      </c>
    </row>
    <row r="861" spans="1:23" ht="56.25">
      <c r="A861" s="147"/>
      <c r="B861" s="134"/>
      <c r="C861" s="147"/>
      <c r="D861" s="148"/>
      <c r="E861" s="36" t="s">
        <v>56</v>
      </c>
      <c r="F861" s="36"/>
      <c r="G861" s="36"/>
      <c r="H861" s="36"/>
      <c r="I861" s="30">
        <v>120000</v>
      </c>
      <c r="J861" s="17"/>
      <c r="K861" s="17"/>
      <c r="L861" s="17"/>
      <c r="M861" s="17">
        <v>120000</v>
      </c>
      <c r="N861" s="17"/>
      <c r="O861" s="17">
        <f>120000-120000</f>
        <v>0</v>
      </c>
      <c r="P861" s="17"/>
      <c r="Q861" s="17"/>
      <c r="R861" s="17"/>
      <c r="S861" s="17"/>
      <c r="T861" s="17"/>
      <c r="U861" s="17"/>
      <c r="V861" s="17">
        <f t="shared" si="96"/>
        <v>0</v>
      </c>
      <c r="W861" s="17"/>
    </row>
    <row r="862" spans="1:23" ht="72" hidden="1">
      <c r="A862" s="147"/>
      <c r="B862" s="134"/>
      <c r="C862" s="147"/>
      <c r="D862" s="148"/>
      <c r="E862" s="16" t="s">
        <v>10</v>
      </c>
      <c r="F862" s="16"/>
      <c r="G862" s="16"/>
      <c r="H862" s="16"/>
      <c r="I862" s="24">
        <f>1500000-1500000</f>
        <v>0</v>
      </c>
      <c r="J862" s="17"/>
      <c r="K862" s="17"/>
      <c r="L862" s="17"/>
      <c r="M862" s="17"/>
      <c r="N862" s="17"/>
      <c r="O862" s="17"/>
      <c r="P862" s="17"/>
      <c r="Q862" s="17">
        <f>850000-850000</f>
        <v>0</v>
      </c>
      <c r="R862" s="17">
        <f>350000-350000</f>
        <v>0</v>
      </c>
      <c r="S862" s="17">
        <f>300000-300000</f>
        <v>0</v>
      </c>
      <c r="T862" s="17"/>
      <c r="U862" s="17"/>
      <c r="V862" s="17">
        <f t="shared" si="96"/>
        <v>0</v>
      </c>
      <c r="W862" s="17"/>
    </row>
    <row r="863" spans="1:23" ht="56.25">
      <c r="A863" s="147"/>
      <c r="B863" s="134"/>
      <c r="C863" s="147"/>
      <c r="D863" s="148"/>
      <c r="E863" s="36" t="s">
        <v>57</v>
      </c>
      <c r="F863" s="36"/>
      <c r="G863" s="36"/>
      <c r="H863" s="36"/>
      <c r="I863" s="30">
        <v>320000</v>
      </c>
      <c r="J863" s="17"/>
      <c r="K863" s="17"/>
      <c r="L863" s="17"/>
      <c r="M863" s="17">
        <v>200000</v>
      </c>
      <c r="N863" s="17">
        <v>120000</v>
      </c>
      <c r="O863" s="17"/>
      <c r="P863" s="17"/>
      <c r="Q863" s="17"/>
      <c r="R863" s="17"/>
      <c r="S863" s="17"/>
      <c r="T863" s="17"/>
      <c r="U863" s="17"/>
      <c r="V863" s="17">
        <f t="shared" si="96"/>
        <v>0</v>
      </c>
      <c r="W863" s="17">
        <f>128757</f>
        <v>128757</v>
      </c>
    </row>
    <row r="864" spans="1:23" ht="75">
      <c r="A864" s="147"/>
      <c r="B864" s="134"/>
      <c r="C864" s="147"/>
      <c r="D864" s="148"/>
      <c r="E864" s="36" t="s">
        <v>58</v>
      </c>
      <c r="F864" s="36"/>
      <c r="G864" s="36"/>
      <c r="H864" s="36"/>
      <c r="I864" s="30">
        <v>1135000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>
        <v>1135000</v>
      </c>
      <c r="V864" s="17">
        <f t="shared" si="96"/>
        <v>0</v>
      </c>
      <c r="W864" s="17"/>
    </row>
    <row r="865" spans="1:23" ht="56.25">
      <c r="A865" s="147"/>
      <c r="B865" s="134"/>
      <c r="C865" s="147"/>
      <c r="D865" s="148"/>
      <c r="E865" s="36" t="s">
        <v>59</v>
      </c>
      <c r="F865" s="36"/>
      <c r="G865" s="36"/>
      <c r="H865" s="36"/>
      <c r="I865" s="30">
        <v>910000</v>
      </c>
      <c r="J865" s="17"/>
      <c r="K865" s="17"/>
      <c r="L865" s="17">
        <v>50000</v>
      </c>
      <c r="M865" s="17">
        <f>600000-108600</f>
        <v>491400</v>
      </c>
      <c r="N865" s="17">
        <v>108600</v>
      </c>
      <c r="O865" s="17"/>
      <c r="P865" s="17">
        <v>260000</v>
      </c>
      <c r="Q865" s="17"/>
      <c r="R865" s="17"/>
      <c r="S865" s="17"/>
      <c r="T865" s="17"/>
      <c r="U865" s="17"/>
      <c r="V865" s="17">
        <f t="shared" si="96"/>
        <v>0</v>
      </c>
      <c r="W865" s="17">
        <v>650000</v>
      </c>
    </row>
    <row r="866" spans="1:23" ht="37.5">
      <c r="A866" s="147"/>
      <c r="B866" s="134"/>
      <c r="C866" s="147"/>
      <c r="D866" s="148"/>
      <c r="E866" s="18" t="s">
        <v>841</v>
      </c>
      <c r="F866" s="18"/>
      <c r="G866" s="18"/>
      <c r="H866" s="18"/>
      <c r="I866" s="50">
        <f>SUM(I867:I880)</f>
        <v>26437100</v>
      </c>
      <c r="J866" s="50">
        <f aca="true" t="shared" si="102" ref="J866:W866">SUM(J867:J880)</f>
        <v>0</v>
      </c>
      <c r="K866" s="50">
        <f t="shared" si="102"/>
        <v>0</v>
      </c>
      <c r="L866" s="50">
        <f t="shared" si="102"/>
        <v>8377500</v>
      </c>
      <c r="M866" s="50">
        <f t="shared" si="102"/>
        <v>3297400</v>
      </c>
      <c r="N866" s="50">
        <f t="shared" si="102"/>
        <v>350000</v>
      </c>
      <c r="O866" s="50">
        <f t="shared" si="102"/>
        <v>0</v>
      </c>
      <c r="P866" s="50">
        <f t="shared" si="102"/>
        <v>730000</v>
      </c>
      <c r="Q866" s="50">
        <f t="shared" si="102"/>
        <v>0</v>
      </c>
      <c r="R866" s="50">
        <f t="shared" si="102"/>
        <v>800000</v>
      </c>
      <c r="S866" s="50">
        <f t="shared" si="102"/>
        <v>0</v>
      </c>
      <c r="T866" s="50">
        <f t="shared" si="102"/>
        <v>300000</v>
      </c>
      <c r="U866" s="50">
        <f t="shared" si="102"/>
        <v>12582200</v>
      </c>
      <c r="V866" s="50">
        <f t="shared" si="102"/>
        <v>0</v>
      </c>
      <c r="W866" s="50">
        <f t="shared" si="102"/>
        <v>11812951.13</v>
      </c>
    </row>
    <row r="867" spans="1:23" ht="37.5">
      <c r="A867" s="147"/>
      <c r="B867" s="134"/>
      <c r="C867" s="147"/>
      <c r="D867" s="148"/>
      <c r="E867" s="16" t="s">
        <v>842</v>
      </c>
      <c r="F867" s="16"/>
      <c r="G867" s="16"/>
      <c r="H867" s="16"/>
      <c r="I867" s="24">
        <v>1680000</v>
      </c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>
        <v>1680000</v>
      </c>
      <c r="V867" s="17">
        <f t="shared" si="96"/>
        <v>0</v>
      </c>
      <c r="W867" s="17"/>
    </row>
    <row r="868" spans="1:23" ht="56.25">
      <c r="A868" s="147"/>
      <c r="B868" s="134"/>
      <c r="C868" s="147"/>
      <c r="D868" s="148"/>
      <c r="E868" s="16" t="s">
        <v>627</v>
      </c>
      <c r="F868" s="16"/>
      <c r="G868" s="16"/>
      <c r="H868" s="16"/>
      <c r="I868" s="24">
        <f>470000+6400</f>
        <v>476400</v>
      </c>
      <c r="J868" s="17"/>
      <c r="K868" s="17"/>
      <c r="L868" s="17"/>
      <c r="M868" s="17">
        <v>476400</v>
      </c>
      <c r="N868" s="17"/>
      <c r="O868" s="17"/>
      <c r="P868" s="17"/>
      <c r="Q868" s="17"/>
      <c r="R868" s="17"/>
      <c r="S868" s="17"/>
      <c r="T868" s="17"/>
      <c r="U868" s="17"/>
      <c r="V868" s="17">
        <f aca="true" t="shared" si="103" ref="V868:V934">I868-J868-K868-L868-M868-N868-O868-P868-Q868-R868-S868-T868-U868</f>
        <v>0</v>
      </c>
      <c r="W868" s="17">
        <f>345000</f>
        <v>345000</v>
      </c>
    </row>
    <row r="869" spans="1:23" ht="21.75" customHeight="1">
      <c r="A869" s="147"/>
      <c r="B869" s="134"/>
      <c r="C869" s="147"/>
      <c r="D869" s="148"/>
      <c r="E869" s="16" t="s">
        <v>586</v>
      </c>
      <c r="F869" s="16"/>
      <c r="G869" s="16"/>
      <c r="H869" s="16"/>
      <c r="I869" s="24">
        <v>725000</v>
      </c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>
        <v>725000</v>
      </c>
      <c r="V869" s="17">
        <f t="shared" si="103"/>
        <v>0</v>
      </c>
      <c r="W869" s="17"/>
    </row>
    <row r="870" spans="1:23" ht="37.5">
      <c r="A870" s="147"/>
      <c r="B870" s="134"/>
      <c r="C870" s="147"/>
      <c r="D870" s="148"/>
      <c r="E870" s="16" t="s">
        <v>587</v>
      </c>
      <c r="F870" s="16"/>
      <c r="G870" s="16"/>
      <c r="H870" s="16"/>
      <c r="I870" s="24">
        <v>435000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>
        <v>435000</v>
      </c>
      <c r="V870" s="17">
        <f t="shared" si="103"/>
        <v>0</v>
      </c>
      <c r="W870" s="17"/>
    </row>
    <row r="871" spans="1:23" ht="56.25">
      <c r="A871" s="147"/>
      <c r="B871" s="134"/>
      <c r="C871" s="147"/>
      <c r="D871" s="148"/>
      <c r="E871" s="16" t="s">
        <v>588</v>
      </c>
      <c r="F871" s="16"/>
      <c r="G871" s="16"/>
      <c r="H871" s="16"/>
      <c r="I871" s="24">
        <v>3604500</v>
      </c>
      <c r="J871" s="17"/>
      <c r="K871" s="17"/>
      <c r="L871" s="17">
        <v>3604500</v>
      </c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3"/>
        <v>0</v>
      </c>
      <c r="W871" s="17">
        <v>3577000</v>
      </c>
    </row>
    <row r="872" spans="1:23" ht="56.25">
      <c r="A872" s="147"/>
      <c r="B872" s="134"/>
      <c r="C872" s="147"/>
      <c r="D872" s="148"/>
      <c r="E872" s="16" t="s">
        <v>877</v>
      </c>
      <c r="F872" s="16"/>
      <c r="G872" s="16"/>
      <c r="H872" s="16"/>
      <c r="I872" s="24">
        <f>3773000+2047400</f>
        <v>5820400</v>
      </c>
      <c r="J872" s="17"/>
      <c r="K872" s="17"/>
      <c r="L872" s="17">
        <v>3773000</v>
      </c>
      <c r="M872" s="17">
        <v>2047400</v>
      </c>
      <c r="N872" s="17"/>
      <c r="O872" s="17"/>
      <c r="P872" s="17"/>
      <c r="Q872" s="17"/>
      <c r="R872" s="17"/>
      <c r="S872" s="17"/>
      <c r="T872" s="17"/>
      <c r="U872" s="17">
        <f>2047400-2047400</f>
        <v>0</v>
      </c>
      <c r="V872" s="17">
        <f t="shared" si="103"/>
        <v>0</v>
      </c>
      <c r="W872" s="17">
        <f>2846000+2974400</f>
        <v>5820400</v>
      </c>
    </row>
    <row r="873" spans="1:23" ht="37.5">
      <c r="A873" s="147"/>
      <c r="B873" s="134"/>
      <c r="C873" s="147"/>
      <c r="D873" s="148"/>
      <c r="E873" s="16" t="s">
        <v>716</v>
      </c>
      <c r="F873" s="16"/>
      <c r="G873" s="16"/>
      <c r="H873" s="16"/>
      <c r="I873" s="24">
        <v>4068000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>
        <v>4068000</v>
      </c>
      <c r="V873" s="17">
        <f t="shared" si="103"/>
        <v>0</v>
      </c>
      <c r="W873" s="17"/>
    </row>
    <row r="874" spans="1:23" ht="37.5">
      <c r="A874" s="147"/>
      <c r="B874" s="134"/>
      <c r="C874" s="147"/>
      <c r="D874" s="148"/>
      <c r="E874" s="16" t="s">
        <v>563</v>
      </c>
      <c r="F874" s="16"/>
      <c r="G874" s="16"/>
      <c r="H874" s="16"/>
      <c r="I874" s="24">
        <v>73600</v>
      </c>
      <c r="J874" s="17"/>
      <c r="K874" s="17"/>
      <c r="L874" s="17"/>
      <c r="M874" s="17">
        <v>73600</v>
      </c>
      <c r="N874" s="17"/>
      <c r="O874" s="17"/>
      <c r="P874" s="17"/>
      <c r="Q874" s="17"/>
      <c r="R874" s="17"/>
      <c r="S874" s="17">
        <f>73600-73600</f>
        <v>0</v>
      </c>
      <c r="T874" s="17"/>
      <c r="U874" s="17"/>
      <c r="V874" s="17">
        <f t="shared" si="103"/>
        <v>0</v>
      </c>
      <c r="W874" s="17">
        <v>73600</v>
      </c>
    </row>
    <row r="875" spans="1:23" ht="18.75">
      <c r="A875" s="147"/>
      <c r="B875" s="134"/>
      <c r="C875" s="147"/>
      <c r="D875" s="148"/>
      <c r="E875" s="16" t="s">
        <v>873</v>
      </c>
      <c r="F875" s="16"/>
      <c r="G875" s="16"/>
      <c r="H875" s="16"/>
      <c r="I875" s="24">
        <v>450000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24">
        <v>450000</v>
      </c>
      <c r="V875" s="17">
        <f>I875-J875-K875-L875-M875-N875-O875-P875-Q875-R875-S875-T875-U875</f>
        <v>0</v>
      </c>
      <c r="W875" s="17"/>
    </row>
    <row r="876" spans="1:23" ht="37.5">
      <c r="A876" s="147"/>
      <c r="B876" s="134"/>
      <c r="C876" s="147"/>
      <c r="D876" s="148"/>
      <c r="E876" s="16" t="s">
        <v>874</v>
      </c>
      <c r="F876" s="16"/>
      <c r="G876" s="16"/>
      <c r="H876" s="16"/>
      <c r="I876" s="24">
        <v>700000</v>
      </c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24">
        <v>700000</v>
      </c>
      <c r="V876" s="17">
        <f>I876-J876-K876-L876-M876-N876-O876-P876-Q876-R876-S876-T876-U876</f>
        <v>0</v>
      </c>
      <c r="W876" s="17"/>
    </row>
    <row r="877" spans="1:23" ht="18.75">
      <c r="A877" s="147"/>
      <c r="B877" s="134"/>
      <c r="C877" s="147"/>
      <c r="D877" s="148"/>
      <c r="E877" s="16" t="s">
        <v>875</v>
      </c>
      <c r="F877" s="16"/>
      <c r="G877" s="16"/>
      <c r="H877" s="16"/>
      <c r="I877" s="24">
        <v>1100000</v>
      </c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24">
        <v>1100000</v>
      </c>
      <c r="V877" s="17">
        <f>I877-J877-K877-L877-M877-N877-O877-P877-Q877-R877-S877-T877-U877</f>
        <v>0</v>
      </c>
      <c r="W877" s="17"/>
    </row>
    <row r="878" spans="1:23" ht="37.5">
      <c r="A878" s="147"/>
      <c r="B878" s="134"/>
      <c r="C878" s="147"/>
      <c r="D878" s="148"/>
      <c r="E878" s="16" t="s">
        <v>876</v>
      </c>
      <c r="F878" s="16"/>
      <c r="G878" s="16"/>
      <c r="H878" s="16"/>
      <c r="I878" s="24">
        <v>3424200</v>
      </c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24">
        <v>3424200</v>
      </c>
      <c r="V878" s="17">
        <f>I878-J878-K878-L878-M878-N878-O878-P878-Q878-R878-S878-T878-U878</f>
        <v>0</v>
      </c>
      <c r="W878" s="17"/>
    </row>
    <row r="879" spans="1:23" ht="44.25" customHeight="1">
      <c r="A879" s="147"/>
      <c r="B879" s="134"/>
      <c r="C879" s="147"/>
      <c r="D879" s="148"/>
      <c r="E879" s="16" t="s">
        <v>717</v>
      </c>
      <c r="F879" s="16"/>
      <c r="G879" s="16"/>
      <c r="H879" s="16"/>
      <c r="I879" s="24">
        <f>780000+400000</f>
        <v>1180000</v>
      </c>
      <c r="J879" s="17"/>
      <c r="K879" s="17"/>
      <c r="L879" s="17"/>
      <c r="M879" s="17"/>
      <c r="N879" s="17"/>
      <c r="O879" s="17"/>
      <c r="P879" s="17">
        <v>80000</v>
      </c>
      <c r="Q879" s="17"/>
      <c r="R879" s="17">
        <v>800000</v>
      </c>
      <c r="S879" s="17"/>
      <c r="T879" s="17">
        <v>300000</v>
      </c>
      <c r="U879" s="17"/>
      <c r="V879" s="17">
        <f t="shared" si="103"/>
        <v>0</v>
      </c>
      <c r="W879" s="17"/>
    </row>
    <row r="880" spans="1:23" ht="37.5">
      <c r="A880" s="147"/>
      <c r="B880" s="133"/>
      <c r="C880" s="147"/>
      <c r="D880" s="148"/>
      <c r="E880" s="16" t="s">
        <v>718</v>
      </c>
      <c r="F880" s="16"/>
      <c r="G880" s="16"/>
      <c r="H880" s="16"/>
      <c r="I880" s="24">
        <f>700000+2000000</f>
        <v>2700000</v>
      </c>
      <c r="J880" s="17"/>
      <c r="K880" s="17"/>
      <c r="L880" s="17">
        <v>1000000</v>
      </c>
      <c r="M880" s="17">
        <v>700000</v>
      </c>
      <c r="N880" s="17">
        <f>1000000-650000</f>
        <v>350000</v>
      </c>
      <c r="O880" s="17"/>
      <c r="P880" s="17">
        <v>650000</v>
      </c>
      <c r="Q880" s="17"/>
      <c r="R880" s="17"/>
      <c r="S880" s="17">
        <f>1000000-1000000+538776-538776</f>
        <v>0</v>
      </c>
      <c r="T880" s="17">
        <f>700000-700000+111224-111224</f>
        <v>0</v>
      </c>
      <c r="U880" s="17"/>
      <c r="V880" s="17">
        <f t="shared" si="103"/>
        <v>0</v>
      </c>
      <c r="W880" s="17">
        <f>117217.32+1825119.34+54614.47</f>
        <v>1996951.1300000001</v>
      </c>
    </row>
    <row r="881" spans="1:23" ht="18" hidden="1">
      <c r="A881" s="132" t="s">
        <v>936</v>
      </c>
      <c r="B881" s="132" t="s">
        <v>935</v>
      </c>
      <c r="C881" s="132" t="s">
        <v>68</v>
      </c>
      <c r="D881" s="145" t="s">
        <v>719</v>
      </c>
      <c r="E881" s="45"/>
      <c r="F881" s="45"/>
      <c r="G881" s="45"/>
      <c r="H881" s="45"/>
      <c r="I881" s="50">
        <f>SUM(I882:I882)</f>
        <v>0</v>
      </c>
      <c r="J881" s="50">
        <f aca="true" t="shared" si="104" ref="J881:W881">SUM(J882:J882)</f>
        <v>0</v>
      </c>
      <c r="K881" s="50">
        <f t="shared" si="104"/>
        <v>0</v>
      </c>
      <c r="L881" s="50">
        <f t="shared" si="104"/>
        <v>0</v>
      </c>
      <c r="M881" s="50">
        <f t="shared" si="104"/>
        <v>0</v>
      </c>
      <c r="N881" s="50">
        <f t="shared" si="104"/>
        <v>0</v>
      </c>
      <c r="O881" s="50">
        <f t="shared" si="104"/>
        <v>0</v>
      </c>
      <c r="P881" s="50">
        <f t="shared" si="104"/>
        <v>0</v>
      </c>
      <c r="Q881" s="50">
        <f t="shared" si="104"/>
        <v>0</v>
      </c>
      <c r="R881" s="50">
        <f t="shared" si="104"/>
        <v>0</v>
      </c>
      <c r="S881" s="50">
        <f t="shared" si="104"/>
        <v>0</v>
      </c>
      <c r="T881" s="50">
        <f t="shared" si="104"/>
        <v>0</v>
      </c>
      <c r="U881" s="50">
        <f t="shared" si="104"/>
        <v>0</v>
      </c>
      <c r="V881" s="50">
        <f t="shared" si="104"/>
        <v>0</v>
      </c>
      <c r="W881" s="50">
        <f t="shared" si="104"/>
        <v>0</v>
      </c>
    </row>
    <row r="882" spans="1:23" ht="54" hidden="1">
      <c r="A882" s="133"/>
      <c r="B882" s="133"/>
      <c r="C882" s="133"/>
      <c r="D882" s="135"/>
      <c r="E882" s="44" t="s">
        <v>720</v>
      </c>
      <c r="F882" s="84">
        <f>I882</f>
        <v>0</v>
      </c>
      <c r="G882" s="83">
        <v>1</v>
      </c>
      <c r="H882" s="84">
        <f>I882</f>
        <v>0</v>
      </c>
      <c r="I882" s="30">
        <f>4800000-1200000-3600000</f>
        <v>0</v>
      </c>
      <c r="J882" s="17"/>
      <c r="K882" s="17"/>
      <c r="L882" s="17">
        <f>100000-100000</f>
        <v>0</v>
      </c>
      <c r="M882" s="17"/>
      <c r="N882" s="17"/>
      <c r="O882" s="17"/>
      <c r="P882" s="17">
        <f>1700000-1700000</f>
        <v>0</v>
      </c>
      <c r="Q882" s="17">
        <f>1800000-1800000</f>
        <v>0</v>
      </c>
      <c r="R882" s="17"/>
      <c r="S882" s="17"/>
      <c r="T882" s="17"/>
      <c r="U882" s="17"/>
      <c r="V882" s="17">
        <f t="shared" si="103"/>
        <v>0</v>
      </c>
      <c r="W882" s="17"/>
    </row>
    <row r="883" spans="1:23" ht="18" customHeight="1">
      <c r="A883" s="147" t="s">
        <v>937</v>
      </c>
      <c r="B883" s="132" t="s">
        <v>999</v>
      </c>
      <c r="C883" s="147" t="s">
        <v>677</v>
      </c>
      <c r="D883" s="152" t="s">
        <v>1000</v>
      </c>
      <c r="E883" s="45"/>
      <c r="F883" s="45"/>
      <c r="G883" s="45"/>
      <c r="H883" s="45"/>
      <c r="I883" s="50">
        <f>I884</f>
        <v>3620000</v>
      </c>
      <c r="J883" s="50">
        <f aca="true" t="shared" si="105" ref="J883:W883">J884</f>
        <v>0</v>
      </c>
      <c r="K883" s="50">
        <f t="shared" si="105"/>
        <v>0</v>
      </c>
      <c r="L883" s="50">
        <f t="shared" si="105"/>
        <v>0</v>
      </c>
      <c r="M883" s="50">
        <f t="shared" si="105"/>
        <v>0</v>
      </c>
      <c r="N883" s="50">
        <f t="shared" si="105"/>
        <v>0</v>
      </c>
      <c r="O883" s="50">
        <f t="shared" si="105"/>
        <v>0</v>
      </c>
      <c r="P883" s="50">
        <f t="shared" si="105"/>
        <v>0</v>
      </c>
      <c r="Q883" s="50">
        <f t="shared" si="105"/>
        <v>0</v>
      </c>
      <c r="R883" s="50">
        <f t="shared" si="105"/>
        <v>0</v>
      </c>
      <c r="S883" s="50">
        <f t="shared" si="105"/>
        <v>0</v>
      </c>
      <c r="T883" s="50">
        <f t="shared" si="105"/>
        <v>3620000</v>
      </c>
      <c r="U883" s="50">
        <f t="shared" si="105"/>
        <v>0</v>
      </c>
      <c r="V883" s="50">
        <f t="shared" si="105"/>
        <v>0</v>
      </c>
      <c r="W883" s="50">
        <f t="shared" si="105"/>
        <v>0</v>
      </c>
    </row>
    <row r="884" spans="1:23" ht="100.5" customHeight="1">
      <c r="A884" s="147"/>
      <c r="B884" s="133"/>
      <c r="C884" s="147"/>
      <c r="D884" s="152"/>
      <c r="E884" s="16" t="s">
        <v>721</v>
      </c>
      <c r="F884" s="16"/>
      <c r="G884" s="16"/>
      <c r="H884" s="16"/>
      <c r="I884" s="24">
        <f>3920000-300000</f>
        <v>3620000</v>
      </c>
      <c r="J884" s="17"/>
      <c r="K884" s="17"/>
      <c r="L884" s="17">
        <f>3920000-3920000</f>
        <v>0</v>
      </c>
      <c r="M884" s="17"/>
      <c r="N884" s="17"/>
      <c r="O884" s="17"/>
      <c r="P884" s="17"/>
      <c r="Q884" s="17"/>
      <c r="R884" s="17"/>
      <c r="S884" s="17"/>
      <c r="T884" s="17">
        <f>3920000-300000</f>
        <v>3620000</v>
      </c>
      <c r="U884" s="17"/>
      <c r="V884" s="17">
        <f t="shared" si="103"/>
        <v>0</v>
      </c>
      <c r="W884" s="17"/>
    </row>
    <row r="885" spans="1:23" ht="31.5" customHeight="1" hidden="1">
      <c r="A885" s="55"/>
      <c r="B885" s="55"/>
      <c r="C885" s="147"/>
      <c r="D885" s="23"/>
      <c r="E885" s="18" t="s">
        <v>65</v>
      </c>
      <c r="F885" s="24"/>
      <c r="G885" s="76"/>
      <c r="H885" s="78"/>
      <c r="I885" s="50">
        <f>SUM(I886:I889)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3"/>
        <v>0</v>
      </c>
      <c r="W885" s="17"/>
    </row>
    <row r="886" spans="1:23" ht="18.75" customHeight="1" hidden="1">
      <c r="A886" s="55"/>
      <c r="B886" s="55"/>
      <c r="C886" s="147"/>
      <c r="D886" s="23"/>
      <c r="E886" s="16"/>
      <c r="F886" s="24"/>
      <c r="G886" s="76"/>
      <c r="H886" s="24"/>
      <c r="I886" s="24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3"/>
        <v>0</v>
      </c>
      <c r="W886" s="17"/>
    </row>
    <row r="887" spans="1:23" ht="18.75" customHeight="1" hidden="1">
      <c r="A887" s="55"/>
      <c r="B887" s="55"/>
      <c r="C887" s="147"/>
      <c r="D887" s="23"/>
      <c r="E887" s="16"/>
      <c r="F887" s="24"/>
      <c r="G887" s="76"/>
      <c r="H887" s="24"/>
      <c r="I887" s="24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3"/>
        <v>0</v>
      </c>
      <c r="W887" s="17"/>
    </row>
    <row r="888" spans="1:23" ht="18.75" customHeight="1" hidden="1">
      <c r="A888" s="55"/>
      <c r="B888" s="55"/>
      <c r="C888" s="147"/>
      <c r="D888" s="23"/>
      <c r="E888" s="16"/>
      <c r="F888" s="24"/>
      <c r="G888" s="76"/>
      <c r="H888" s="24"/>
      <c r="I888" s="24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3"/>
        <v>0</v>
      </c>
      <c r="W888" s="17"/>
    </row>
    <row r="889" spans="1:23" ht="18.75" customHeight="1" hidden="1">
      <c r="A889" s="55"/>
      <c r="B889" s="55"/>
      <c r="C889" s="147"/>
      <c r="D889" s="23"/>
      <c r="E889" s="16"/>
      <c r="F889" s="24"/>
      <c r="G889" s="76"/>
      <c r="H889" s="24"/>
      <c r="I889" s="24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3"/>
        <v>0</v>
      </c>
      <c r="W889" s="17"/>
    </row>
    <row r="890" spans="1:23" ht="18.75" customHeight="1" hidden="1">
      <c r="A890" s="38"/>
      <c r="B890" s="38"/>
      <c r="C890" s="132" t="s">
        <v>66</v>
      </c>
      <c r="D890" s="25"/>
      <c r="E890" s="44"/>
      <c r="F890" s="17"/>
      <c r="G890" s="76"/>
      <c r="H890" s="78"/>
      <c r="I890" s="35">
        <f>SUM(I891:I894)</f>
        <v>0</v>
      </c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3"/>
        <v>0</v>
      </c>
      <c r="W890" s="17"/>
    </row>
    <row r="891" spans="1:23" ht="18.75" customHeight="1" hidden="1">
      <c r="A891" s="79"/>
      <c r="B891" s="79"/>
      <c r="C891" s="134"/>
      <c r="D891" s="26"/>
      <c r="E891" s="16"/>
      <c r="F891" s="17"/>
      <c r="G891" s="76"/>
      <c r="H891" s="17"/>
      <c r="I891" s="6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3"/>
        <v>0</v>
      </c>
      <c r="W891" s="17"/>
    </row>
    <row r="892" spans="1:23" ht="18.75" customHeight="1" hidden="1">
      <c r="A892" s="79"/>
      <c r="B892" s="79"/>
      <c r="C892" s="134"/>
      <c r="D892" s="26"/>
      <c r="E892" s="16"/>
      <c r="F892" s="17"/>
      <c r="G892" s="76"/>
      <c r="H892" s="17"/>
      <c r="I892" s="6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3"/>
        <v>0</v>
      </c>
      <c r="W892" s="17"/>
    </row>
    <row r="893" spans="1:23" ht="18.75" customHeight="1" hidden="1">
      <c r="A893" s="79"/>
      <c r="B893" s="79"/>
      <c r="C893" s="134"/>
      <c r="D893" s="26"/>
      <c r="E893" s="16"/>
      <c r="F893" s="17"/>
      <c r="G893" s="76"/>
      <c r="H893" s="17"/>
      <c r="I893" s="6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3"/>
        <v>0</v>
      </c>
      <c r="W893" s="17"/>
    </row>
    <row r="894" spans="1:23" ht="18.75" customHeight="1" hidden="1">
      <c r="A894" s="79"/>
      <c r="B894" s="79"/>
      <c r="C894" s="134"/>
      <c r="D894" s="26"/>
      <c r="E894" s="16"/>
      <c r="F894" s="17"/>
      <c r="G894" s="76"/>
      <c r="H894" s="17"/>
      <c r="I894" s="6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3"/>
        <v>0</v>
      </c>
      <c r="W894" s="17"/>
    </row>
    <row r="895" spans="1:23" ht="18.75" customHeight="1" hidden="1">
      <c r="A895" s="80"/>
      <c r="B895" s="80"/>
      <c r="C895" s="133"/>
      <c r="D895" s="28"/>
      <c r="E895" s="16"/>
      <c r="F895" s="17"/>
      <c r="G895" s="76"/>
      <c r="H895" s="78"/>
      <c r="I895" s="6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3"/>
        <v>0</v>
      </c>
      <c r="W895" s="17"/>
    </row>
    <row r="896" spans="1:23" ht="18.75" customHeight="1" hidden="1">
      <c r="A896" s="38"/>
      <c r="B896" s="38"/>
      <c r="C896" s="132" t="s">
        <v>67</v>
      </c>
      <c r="D896" s="25"/>
      <c r="E896" s="44"/>
      <c r="F896" s="17"/>
      <c r="G896" s="76"/>
      <c r="H896" s="78"/>
      <c r="I896" s="35">
        <f>SUM(I897:I901)</f>
        <v>0</v>
      </c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3"/>
        <v>0</v>
      </c>
      <c r="W896" s="17"/>
    </row>
    <row r="897" spans="1:23" ht="18.75" customHeight="1" hidden="1">
      <c r="A897" s="79"/>
      <c r="B897" s="79"/>
      <c r="C897" s="134"/>
      <c r="D897" s="26"/>
      <c r="E897" s="16"/>
      <c r="F897" s="17"/>
      <c r="G897" s="76"/>
      <c r="H897" s="78"/>
      <c r="I897" s="6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3"/>
        <v>0</v>
      </c>
      <c r="W897" s="17"/>
    </row>
    <row r="898" spans="1:23" ht="18.75" customHeight="1" hidden="1">
      <c r="A898" s="79"/>
      <c r="B898" s="79"/>
      <c r="C898" s="134"/>
      <c r="D898" s="26"/>
      <c r="E898" s="16"/>
      <c r="F898" s="17"/>
      <c r="G898" s="76"/>
      <c r="H898" s="78"/>
      <c r="I898" s="6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3"/>
        <v>0</v>
      </c>
      <c r="W898" s="17"/>
    </row>
    <row r="899" spans="1:23" ht="18.75" customHeight="1" hidden="1">
      <c r="A899" s="79"/>
      <c r="B899" s="79"/>
      <c r="C899" s="134"/>
      <c r="D899" s="26"/>
      <c r="E899" s="16"/>
      <c r="F899" s="17"/>
      <c r="G899" s="76"/>
      <c r="H899" s="17"/>
      <c r="I899" s="6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3"/>
        <v>0</v>
      </c>
      <c r="W899" s="17"/>
    </row>
    <row r="900" spans="1:23" ht="18.75" customHeight="1" hidden="1">
      <c r="A900" s="79"/>
      <c r="B900" s="79"/>
      <c r="C900" s="134"/>
      <c r="D900" s="26"/>
      <c r="E900" s="16"/>
      <c r="F900" s="17"/>
      <c r="G900" s="76"/>
      <c r="H900" s="17"/>
      <c r="I900" s="6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3"/>
        <v>0</v>
      </c>
      <c r="W900" s="17"/>
    </row>
    <row r="901" spans="1:23" ht="18.75" customHeight="1" hidden="1">
      <c r="A901" s="80"/>
      <c r="B901" s="80"/>
      <c r="C901" s="133"/>
      <c r="D901" s="28"/>
      <c r="E901" s="16"/>
      <c r="F901" s="17"/>
      <c r="G901" s="76"/>
      <c r="H901" s="17"/>
      <c r="I901" s="6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3"/>
        <v>0</v>
      </c>
      <c r="W901" s="17"/>
    </row>
    <row r="902" spans="1:23" ht="18.75" customHeight="1" hidden="1">
      <c r="A902" s="38"/>
      <c r="B902" s="38"/>
      <c r="C902" s="132" t="s">
        <v>68</v>
      </c>
      <c r="D902" s="25"/>
      <c r="E902" s="44"/>
      <c r="F902" s="17"/>
      <c r="G902" s="76"/>
      <c r="H902" s="78"/>
      <c r="I902" s="35">
        <f>SUM(I903:I904)</f>
        <v>0</v>
      </c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3"/>
        <v>0</v>
      </c>
      <c r="W902" s="17"/>
    </row>
    <row r="903" spans="1:23" ht="18.75" customHeight="1" hidden="1">
      <c r="A903" s="79"/>
      <c r="B903" s="79"/>
      <c r="C903" s="134"/>
      <c r="D903" s="26"/>
      <c r="E903" s="44"/>
      <c r="F903" s="17"/>
      <c r="G903" s="76"/>
      <c r="H903" s="78"/>
      <c r="I903" s="30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>
        <f t="shared" si="103"/>
        <v>0</v>
      </c>
      <c r="W903" s="17"/>
    </row>
    <row r="904" spans="1:23" ht="18.75" customHeight="1" hidden="1">
      <c r="A904" s="80"/>
      <c r="B904" s="80"/>
      <c r="C904" s="133"/>
      <c r="D904" s="28"/>
      <c r="E904" s="16"/>
      <c r="F904" s="3"/>
      <c r="G904" s="76"/>
      <c r="H904" s="86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>
        <f t="shared" si="103"/>
        <v>0</v>
      </c>
      <c r="W904" s="17"/>
    </row>
    <row r="905" spans="1:23" ht="18.75" customHeight="1" hidden="1">
      <c r="A905" s="55"/>
      <c r="B905" s="55"/>
      <c r="C905" s="147" t="s">
        <v>677</v>
      </c>
      <c r="D905" s="23"/>
      <c r="E905" s="44"/>
      <c r="F905" s="84"/>
      <c r="G905" s="76"/>
      <c r="H905" s="84"/>
      <c r="I905" s="35">
        <f>I906</f>
        <v>0</v>
      </c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>
        <f t="shared" si="103"/>
        <v>0</v>
      </c>
      <c r="W905" s="17"/>
    </row>
    <row r="906" spans="1:23" ht="18.75" customHeight="1" hidden="1">
      <c r="A906" s="55"/>
      <c r="B906" s="55"/>
      <c r="C906" s="147"/>
      <c r="D906" s="23"/>
      <c r="E906" s="16"/>
      <c r="F906" s="3"/>
      <c r="G906" s="76"/>
      <c r="H906" s="89"/>
      <c r="I906" s="50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>
        <f t="shared" si="103"/>
        <v>0</v>
      </c>
      <c r="W906" s="17"/>
    </row>
    <row r="907" spans="1:23" ht="18.75" customHeight="1" hidden="1">
      <c r="A907" s="177"/>
      <c r="B907" s="177"/>
      <c r="C907" s="153" t="s">
        <v>677</v>
      </c>
      <c r="D907" s="54"/>
      <c r="E907" s="45"/>
      <c r="F907" s="9"/>
      <c r="G907" s="76"/>
      <c r="H907" s="90"/>
      <c r="I907" s="50">
        <f>I908</f>
        <v>0</v>
      </c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>
        <f t="shared" si="103"/>
        <v>0</v>
      </c>
      <c r="W907" s="17"/>
    </row>
    <row r="908" spans="1:23" ht="18.75" customHeight="1" hidden="1">
      <c r="A908" s="177"/>
      <c r="B908" s="177"/>
      <c r="C908" s="153"/>
      <c r="D908" s="54"/>
      <c r="E908" s="16"/>
      <c r="F908" s="9"/>
      <c r="G908" s="76"/>
      <c r="H908" s="90"/>
      <c r="I908" s="24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>
        <f t="shared" si="103"/>
        <v>0</v>
      </c>
      <c r="W908" s="17"/>
    </row>
    <row r="909" spans="1:23" ht="18.75" customHeight="1" hidden="1">
      <c r="A909" s="177"/>
      <c r="B909" s="177"/>
      <c r="C909" s="153"/>
      <c r="D909" s="54"/>
      <c r="E909" s="16"/>
      <c r="F909" s="9"/>
      <c r="G909" s="76"/>
      <c r="H909" s="90"/>
      <c r="I909" s="24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>
        <f t="shared" si="103"/>
        <v>0</v>
      </c>
      <c r="W909" s="17"/>
    </row>
    <row r="910" spans="3:23" ht="18" hidden="1">
      <c r="C910" s="126"/>
      <c r="D910" s="126"/>
      <c r="E910" s="57"/>
      <c r="F910" s="17"/>
      <c r="G910" s="82"/>
      <c r="H910" s="78"/>
      <c r="I910" s="19">
        <f>I911</f>
        <v>0</v>
      </c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>
        <f t="shared" si="103"/>
        <v>0</v>
      </c>
      <c r="W910" s="17"/>
    </row>
    <row r="911" spans="3:23" ht="18.75" customHeight="1" hidden="1">
      <c r="C911" s="149" t="s">
        <v>676</v>
      </c>
      <c r="D911" s="37"/>
      <c r="E911" s="57"/>
      <c r="F911" s="17"/>
      <c r="G911" s="82"/>
      <c r="H911" s="78"/>
      <c r="I911" s="19">
        <f>I912</f>
        <v>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>
        <f t="shared" si="103"/>
        <v>0</v>
      </c>
      <c r="W911" s="17"/>
    </row>
    <row r="912" spans="3:23" ht="18.75" customHeight="1" hidden="1">
      <c r="C912" s="150"/>
      <c r="D912" s="91"/>
      <c r="E912" s="57"/>
      <c r="F912" s="17"/>
      <c r="G912" s="82"/>
      <c r="H912" s="78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>
        <f t="shared" si="103"/>
        <v>0</v>
      </c>
      <c r="W912" s="17"/>
    </row>
    <row r="913" spans="3:23" ht="18" hidden="1">
      <c r="C913" s="126"/>
      <c r="D913" s="126"/>
      <c r="E913" s="57"/>
      <c r="F913" s="17"/>
      <c r="G913" s="82"/>
      <c r="H913" s="78"/>
      <c r="I913" s="19">
        <f>I919+I925+I930+I934+I939+I943+I949+I954+I961+I932+I914+I952+I960</f>
        <v>0</v>
      </c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3"/>
        <v>0</v>
      </c>
      <c r="W913" s="17"/>
    </row>
    <row r="914" spans="3:23" ht="18.75" customHeight="1" hidden="1">
      <c r="C914" s="136" t="s">
        <v>676</v>
      </c>
      <c r="D914" s="42"/>
      <c r="E914" s="57"/>
      <c r="F914" s="17"/>
      <c r="G914" s="82"/>
      <c r="H914" s="78"/>
      <c r="I914" s="19">
        <f>SUM(I915:I918)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3"/>
        <v>0</v>
      </c>
      <c r="W914" s="17"/>
    </row>
    <row r="915" spans="3:23" ht="18.75" customHeight="1" hidden="1">
      <c r="C915" s="138"/>
      <c r="D915" s="56"/>
      <c r="E915" s="57"/>
      <c r="F915" s="17"/>
      <c r="G915" s="82"/>
      <c r="H915" s="78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3"/>
        <v>0</v>
      </c>
      <c r="W915" s="17"/>
    </row>
    <row r="916" spans="3:23" ht="54.75" customHeight="1" hidden="1">
      <c r="C916" s="138"/>
      <c r="D916" s="56"/>
      <c r="E916" s="16"/>
      <c r="F916" s="17"/>
      <c r="G916" s="82"/>
      <c r="H916" s="78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3"/>
        <v>0</v>
      </c>
      <c r="W916" s="17"/>
    </row>
    <row r="917" spans="3:23" ht="18.75" customHeight="1" hidden="1">
      <c r="C917" s="138"/>
      <c r="D917" s="56"/>
      <c r="E917" s="16"/>
      <c r="F917" s="17"/>
      <c r="G917" s="82"/>
      <c r="H917" s="78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3"/>
        <v>0</v>
      </c>
      <c r="W917" s="17"/>
    </row>
    <row r="918" spans="3:23" ht="18.75" customHeight="1" hidden="1">
      <c r="C918" s="137"/>
      <c r="D918" s="92"/>
      <c r="E918" s="16"/>
      <c r="F918" s="17"/>
      <c r="G918" s="85"/>
      <c r="H918" s="78"/>
      <c r="I918" s="24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3"/>
        <v>0</v>
      </c>
      <c r="W918" s="17"/>
    </row>
    <row r="919" spans="1:23" ht="18.75" customHeight="1" hidden="1">
      <c r="A919" s="38"/>
      <c r="B919" s="38"/>
      <c r="C919" s="132" t="s">
        <v>681</v>
      </c>
      <c r="D919" s="25"/>
      <c r="E919" s="57"/>
      <c r="F919" s="17"/>
      <c r="G919" s="82"/>
      <c r="H919" s="78"/>
      <c r="I919" s="19">
        <f>SUM(I920:I924)</f>
        <v>0</v>
      </c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3"/>
        <v>0</v>
      </c>
      <c r="W919" s="17"/>
    </row>
    <row r="920" spans="1:23" ht="18.75" customHeight="1" hidden="1">
      <c r="A920" s="79"/>
      <c r="B920" s="79"/>
      <c r="C920" s="134"/>
      <c r="D920" s="26"/>
      <c r="E920" s="16"/>
      <c r="F920" s="17"/>
      <c r="G920" s="76"/>
      <c r="H920" s="78"/>
      <c r="I920" s="30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t="shared" si="103"/>
        <v>0</v>
      </c>
      <c r="W920" s="17"/>
    </row>
    <row r="921" spans="1:23" ht="18.75" customHeight="1" hidden="1">
      <c r="A921" s="79"/>
      <c r="B921" s="79"/>
      <c r="C921" s="134"/>
      <c r="D921" s="26"/>
      <c r="E921" s="16"/>
      <c r="F921" s="17"/>
      <c r="G921" s="76"/>
      <c r="H921" s="78"/>
      <c r="I921" s="30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3"/>
        <v>0</v>
      </c>
      <c r="W921" s="17"/>
    </row>
    <row r="922" spans="1:23" ht="18.75" customHeight="1" hidden="1">
      <c r="A922" s="79"/>
      <c r="B922" s="79"/>
      <c r="C922" s="134"/>
      <c r="D922" s="26"/>
      <c r="E922" s="16"/>
      <c r="F922" s="17"/>
      <c r="G922" s="76"/>
      <c r="H922" s="78"/>
      <c r="I922" s="3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3"/>
        <v>0</v>
      </c>
      <c r="W922" s="17"/>
    </row>
    <row r="923" spans="1:23" ht="18.75" customHeight="1" hidden="1">
      <c r="A923" s="79"/>
      <c r="B923" s="79"/>
      <c r="C923" s="134"/>
      <c r="D923" s="26"/>
      <c r="E923" s="16"/>
      <c r="F923" s="17"/>
      <c r="G923" s="76"/>
      <c r="H923" s="78"/>
      <c r="I923" s="30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3"/>
        <v>0</v>
      </c>
      <c r="W923" s="17"/>
    </row>
    <row r="924" spans="1:23" ht="18.75" customHeight="1" hidden="1">
      <c r="A924" s="79"/>
      <c r="B924" s="79"/>
      <c r="C924" s="134"/>
      <c r="D924" s="26"/>
      <c r="E924" s="16"/>
      <c r="F924" s="24"/>
      <c r="G924" s="76"/>
      <c r="H924" s="88"/>
      <c r="I924" s="24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3"/>
        <v>0</v>
      </c>
      <c r="W924" s="17"/>
    </row>
    <row r="925" spans="1:23" ht="18.75" customHeight="1" hidden="1">
      <c r="A925" s="38"/>
      <c r="B925" s="38"/>
      <c r="C925" s="132" t="s">
        <v>682</v>
      </c>
      <c r="D925" s="25"/>
      <c r="E925" s="57"/>
      <c r="F925" s="17"/>
      <c r="G925" s="82"/>
      <c r="H925" s="78"/>
      <c r="I925" s="19">
        <f>SUM(I926:I929)</f>
        <v>0</v>
      </c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3"/>
        <v>0</v>
      </c>
      <c r="W925" s="17"/>
    </row>
    <row r="926" spans="1:23" ht="18.75" customHeight="1" hidden="1">
      <c r="A926" s="79"/>
      <c r="B926" s="79"/>
      <c r="C926" s="134"/>
      <c r="D926" s="26"/>
      <c r="E926" s="20"/>
      <c r="F926" s="21"/>
      <c r="G926" s="76"/>
      <c r="H926" s="77"/>
      <c r="I926" s="21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3"/>
        <v>0</v>
      </c>
      <c r="W926" s="17"/>
    </row>
    <row r="927" spans="1:23" ht="18.75" customHeight="1" hidden="1">
      <c r="A927" s="79"/>
      <c r="B927" s="79"/>
      <c r="C927" s="134"/>
      <c r="D927" s="26"/>
      <c r="E927" s="16"/>
      <c r="F927" s="17"/>
      <c r="G927" s="76"/>
      <c r="H927" s="78"/>
      <c r="I927" s="30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>
        <f t="shared" si="103"/>
        <v>0</v>
      </c>
      <c r="W927" s="17"/>
    </row>
    <row r="928" spans="1:23" ht="39.75" customHeight="1" hidden="1">
      <c r="A928" s="79"/>
      <c r="B928" s="79"/>
      <c r="C928" s="134"/>
      <c r="D928" s="26"/>
      <c r="E928" s="16"/>
      <c r="F928" s="17"/>
      <c r="G928" s="76"/>
      <c r="H928" s="78"/>
      <c r="I928" s="30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3"/>
        <v>0</v>
      </c>
      <c r="W928" s="17"/>
    </row>
    <row r="929" spans="1:23" ht="18.75" customHeight="1" hidden="1">
      <c r="A929" s="79"/>
      <c r="B929" s="79"/>
      <c r="C929" s="134"/>
      <c r="D929" s="26"/>
      <c r="E929" s="20"/>
      <c r="F929" s="21"/>
      <c r="G929" s="76"/>
      <c r="H929" s="77"/>
      <c r="I929" s="21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>
        <f t="shared" si="103"/>
        <v>0</v>
      </c>
      <c r="W929" s="17"/>
    </row>
    <row r="930" spans="1:23" ht="18.75" customHeight="1" hidden="1">
      <c r="A930" s="38"/>
      <c r="B930" s="38"/>
      <c r="C930" s="132" t="s">
        <v>591</v>
      </c>
      <c r="D930" s="25"/>
      <c r="E930" s="57"/>
      <c r="F930" s="17"/>
      <c r="G930" s="76"/>
      <c r="H930" s="78"/>
      <c r="I930" s="19">
        <f>I931</f>
        <v>0</v>
      </c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>
        <f t="shared" si="103"/>
        <v>0</v>
      </c>
      <c r="W930" s="17"/>
    </row>
    <row r="931" spans="1:23" ht="18.75" customHeight="1" hidden="1">
      <c r="A931" s="80"/>
      <c r="B931" s="80"/>
      <c r="C931" s="133"/>
      <c r="D931" s="28"/>
      <c r="E931" s="16"/>
      <c r="F931" s="17"/>
      <c r="G931" s="76"/>
      <c r="H931" s="78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>
        <f t="shared" si="103"/>
        <v>0</v>
      </c>
      <c r="W931" s="17"/>
    </row>
    <row r="932" spans="1:23" ht="18.75" customHeight="1" hidden="1">
      <c r="A932" s="38"/>
      <c r="B932" s="38"/>
      <c r="C932" s="132" t="s">
        <v>116</v>
      </c>
      <c r="D932" s="25"/>
      <c r="E932" s="18"/>
      <c r="F932" s="19"/>
      <c r="G932" s="76"/>
      <c r="H932" s="93"/>
      <c r="I932" s="19">
        <f>I933</f>
        <v>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>
        <f t="shared" si="103"/>
        <v>0</v>
      </c>
      <c r="W932" s="17"/>
    </row>
    <row r="933" spans="1:23" ht="18.75" customHeight="1" hidden="1">
      <c r="A933" s="80"/>
      <c r="B933" s="80"/>
      <c r="C933" s="133"/>
      <c r="D933" s="26"/>
      <c r="E933" s="16"/>
      <c r="F933" s="24"/>
      <c r="G933" s="76"/>
      <c r="H933" s="88"/>
      <c r="I933" s="24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>
        <f t="shared" si="103"/>
        <v>0</v>
      </c>
      <c r="W933" s="17"/>
    </row>
    <row r="934" spans="1:23" ht="18.75" customHeight="1" hidden="1">
      <c r="A934" s="38"/>
      <c r="B934" s="38"/>
      <c r="C934" s="132" t="s">
        <v>863</v>
      </c>
      <c r="D934" s="25"/>
      <c r="E934" s="57"/>
      <c r="F934" s="17"/>
      <c r="G934" s="76"/>
      <c r="H934" s="78"/>
      <c r="I934" s="19">
        <f>SUM(I935:I938)</f>
        <v>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>
        <f t="shared" si="103"/>
        <v>0</v>
      </c>
      <c r="W934" s="17"/>
    </row>
    <row r="935" spans="1:23" ht="18.75" customHeight="1" hidden="1">
      <c r="A935" s="79"/>
      <c r="B935" s="79"/>
      <c r="C935" s="134"/>
      <c r="D935" s="26"/>
      <c r="E935" s="16"/>
      <c r="F935" s="17"/>
      <c r="G935" s="76"/>
      <c r="H935" s="78"/>
      <c r="I935" s="30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>
        <f aca="true" t="shared" si="106" ref="V935:V998">I935-J935-K935-L935-M935-N935-O935-P935-Q935-R935-S935-T935-U935</f>
        <v>0</v>
      </c>
      <c r="W935" s="17"/>
    </row>
    <row r="936" spans="1:23" ht="18.75" customHeight="1" hidden="1">
      <c r="A936" s="79"/>
      <c r="B936" s="79"/>
      <c r="C936" s="134"/>
      <c r="D936" s="26"/>
      <c r="E936" s="16"/>
      <c r="F936" s="17"/>
      <c r="G936" s="76"/>
      <c r="H936" s="78"/>
      <c r="I936" s="30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>
        <f t="shared" si="106"/>
        <v>0</v>
      </c>
      <c r="W936" s="17"/>
    </row>
    <row r="937" spans="1:23" ht="18.75" customHeight="1" hidden="1">
      <c r="A937" s="79"/>
      <c r="B937" s="79"/>
      <c r="C937" s="134"/>
      <c r="D937" s="26"/>
      <c r="E937" s="16"/>
      <c r="F937" s="17"/>
      <c r="G937" s="76"/>
      <c r="H937" s="78"/>
      <c r="I937" s="30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>
        <f t="shared" si="106"/>
        <v>0</v>
      </c>
      <c r="W937" s="17"/>
    </row>
    <row r="938" spans="1:23" ht="18.75" customHeight="1" hidden="1">
      <c r="A938" s="80"/>
      <c r="B938" s="80"/>
      <c r="C938" s="133"/>
      <c r="D938" s="28"/>
      <c r="E938" s="16"/>
      <c r="F938" s="24"/>
      <c r="G938" s="76"/>
      <c r="H938" s="88"/>
      <c r="I938" s="24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>
        <f t="shared" si="106"/>
        <v>0</v>
      </c>
      <c r="W938" s="17"/>
    </row>
    <row r="939" spans="1:23" ht="18.75" customHeight="1" hidden="1">
      <c r="A939" s="38"/>
      <c r="B939" s="38"/>
      <c r="C939" s="132" t="s">
        <v>759</v>
      </c>
      <c r="D939" s="25"/>
      <c r="E939" s="57"/>
      <c r="F939" s="17"/>
      <c r="G939" s="76"/>
      <c r="H939" s="78"/>
      <c r="I939" s="19">
        <f>SUM(I940:I942)</f>
        <v>0</v>
      </c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>
        <f t="shared" si="106"/>
        <v>0</v>
      </c>
      <c r="W939" s="17"/>
    </row>
    <row r="940" spans="1:23" ht="18.75" customHeight="1" hidden="1">
      <c r="A940" s="79"/>
      <c r="B940" s="79"/>
      <c r="C940" s="134"/>
      <c r="D940" s="26"/>
      <c r="E940" s="16"/>
      <c r="F940" s="17"/>
      <c r="G940" s="76"/>
      <c r="H940" s="78"/>
      <c r="I940" s="30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>
        <f t="shared" si="106"/>
        <v>0</v>
      </c>
      <c r="W940" s="17"/>
    </row>
    <row r="941" spans="1:23" ht="18.75" customHeight="1" hidden="1">
      <c r="A941" s="79"/>
      <c r="B941" s="79"/>
      <c r="C941" s="134"/>
      <c r="D941" s="26"/>
      <c r="E941" s="16"/>
      <c r="F941" s="17"/>
      <c r="G941" s="76"/>
      <c r="H941" s="78"/>
      <c r="I941" s="30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>
        <f t="shared" si="106"/>
        <v>0</v>
      </c>
      <c r="W941" s="17"/>
    </row>
    <row r="942" spans="1:23" ht="18.75" customHeight="1" hidden="1">
      <c r="A942" s="80"/>
      <c r="B942" s="80"/>
      <c r="C942" s="133"/>
      <c r="D942" s="28"/>
      <c r="E942" s="16"/>
      <c r="F942" s="24"/>
      <c r="G942" s="76"/>
      <c r="H942" s="88"/>
      <c r="I942" s="24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>
        <f t="shared" si="106"/>
        <v>0</v>
      </c>
      <c r="W942" s="17"/>
    </row>
    <row r="943" spans="1:23" ht="18.75" customHeight="1" hidden="1">
      <c r="A943" s="38"/>
      <c r="B943" s="38"/>
      <c r="C943" s="132" t="s">
        <v>480</v>
      </c>
      <c r="D943" s="25"/>
      <c r="E943" s="57"/>
      <c r="F943" s="17"/>
      <c r="G943" s="76"/>
      <c r="H943" s="78"/>
      <c r="I943" s="19">
        <f>SUM(I944:I948)</f>
        <v>0</v>
      </c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>
        <f t="shared" si="106"/>
        <v>0</v>
      </c>
      <c r="W943" s="17"/>
    </row>
    <row r="944" spans="1:23" ht="18.75" customHeight="1" hidden="1">
      <c r="A944" s="79"/>
      <c r="B944" s="79"/>
      <c r="C944" s="134"/>
      <c r="D944" s="26"/>
      <c r="E944" s="36"/>
      <c r="F944" s="17"/>
      <c r="G944" s="76"/>
      <c r="H944" s="78"/>
      <c r="I944" s="30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>
        <f t="shared" si="106"/>
        <v>0</v>
      </c>
      <c r="W944" s="17"/>
    </row>
    <row r="945" spans="1:23" ht="18.75" customHeight="1" hidden="1">
      <c r="A945" s="79"/>
      <c r="B945" s="79"/>
      <c r="C945" s="134"/>
      <c r="D945" s="26"/>
      <c r="E945" s="36"/>
      <c r="F945" s="17"/>
      <c r="G945" s="76"/>
      <c r="H945" s="78"/>
      <c r="I945" s="30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>
        <f t="shared" si="106"/>
        <v>0</v>
      </c>
      <c r="W945" s="17"/>
    </row>
    <row r="946" spans="1:23" ht="18.75" customHeight="1" hidden="1">
      <c r="A946" s="79"/>
      <c r="B946" s="79"/>
      <c r="C946" s="134"/>
      <c r="D946" s="26"/>
      <c r="E946" s="36"/>
      <c r="F946" s="17"/>
      <c r="G946" s="76"/>
      <c r="H946" s="78"/>
      <c r="I946" s="30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>
        <f t="shared" si="106"/>
        <v>0</v>
      </c>
      <c r="W946" s="17"/>
    </row>
    <row r="947" spans="1:23" ht="18.75" customHeight="1" hidden="1">
      <c r="A947" s="79"/>
      <c r="B947" s="79"/>
      <c r="C947" s="134"/>
      <c r="D947" s="26"/>
      <c r="E947" s="36"/>
      <c r="F947" s="17"/>
      <c r="G947" s="76"/>
      <c r="H947" s="78"/>
      <c r="I947" s="30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>
        <f t="shared" si="106"/>
        <v>0</v>
      </c>
      <c r="W947" s="17"/>
    </row>
    <row r="948" spans="1:23" ht="18.75" customHeight="1" hidden="1">
      <c r="A948" s="79"/>
      <c r="B948" s="79"/>
      <c r="C948" s="134"/>
      <c r="D948" s="26"/>
      <c r="E948" s="36"/>
      <c r="F948" s="17"/>
      <c r="G948" s="76"/>
      <c r="H948" s="78"/>
      <c r="I948" s="30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>
        <f t="shared" si="106"/>
        <v>0</v>
      </c>
      <c r="W948" s="17"/>
    </row>
    <row r="949" spans="1:23" ht="18.75" customHeight="1" hidden="1">
      <c r="A949" s="38"/>
      <c r="B949" s="38"/>
      <c r="C949" s="132" t="s">
        <v>682</v>
      </c>
      <c r="D949" s="25"/>
      <c r="E949" s="57"/>
      <c r="F949" s="17"/>
      <c r="G949" s="76"/>
      <c r="H949" s="78"/>
      <c r="I949" s="19">
        <f>SUM(I950:I951)</f>
        <v>0</v>
      </c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>
        <f t="shared" si="106"/>
        <v>0</v>
      </c>
      <c r="W949" s="17"/>
    </row>
    <row r="950" spans="1:23" ht="18.75" customHeight="1" hidden="1">
      <c r="A950" s="79"/>
      <c r="B950" s="79"/>
      <c r="C950" s="134"/>
      <c r="D950" s="26"/>
      <c r="E950" s="20"/>
      <c r="F950" s="21"/>
      <c r="G950" s="76"/>
      <c r="H950" s="77"/>
      <c r="I950" s="21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>
        <f t="shared" si="106"/>
        <v>0</v>
      </c>
      <c r="W950" s="17"/>
    </row>
    <row r="951" spans="1:23" ht="18.75" customHeight="1" hidden="1">
      <c r="A951" s="79"/>
      <c r="B951" s="79"/>
      <c r="C951" s="134"/>
      <c r="D951" s="26"/>
      <c r="E951" s="62"/>
      <c r="F951" s="94"/>
      <c r="G951" s="76"/>
      <c r="H951" s="95"/>
      <c r="I951" s="30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>
        <f t="shared" si="106"/>
        <v>0</v>
      </c>
      <c r="W951" s="17"/>
    </row>
    <row r="952" spans="1:23" ht="18.75" customHeight="1" hidden="1">
      <c r="A952" s="38"/>
      <c r="B952" s="38"/>
      <c r="C952" s="132" t="s">
        <v>430</v>
      </c>
      <c r="D952" s="25"/>
      <c r="E952" s="18"/>
      <c r="F952" s="50"/>
      <c r="G952" s="76"/>
      <c r="H952" s="87"/>
      <c r="I952" s="50">
        <f>I953</f>
        <v>0</v>
      </c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>
        <f t="shared" si="106"/>
        <v>0</v>
      </c>
      <c r="W952" s="17"/>
    </row>
    <row r="953" spans="1:23" ht="18.75" customHeight="1" hidden="1">
      <c r="A953" s="80"/>
      <c r="B953" s="80"/>
      <c r="C953" s="133"/>
      <c r="D953" s="28"/>
      <c r="E953" s="16"/>
      <c r="F953" s="24"/>
      <c r="G953" s="76"/>
      <c r="H953" s="88"/>
      <c r="I953" s="24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>
        <f t="shared" si="106"/>
        <v>0</v>
      </c>
      <c r="W953" s="17"/>
    </row>
    <row r="954" spans="1:23" ht="18" customHeight="1" hidden="1">
      <c r="A954" s="38"/>
      <c r="B954" s="38"/>
      <c r="C954" s="132" t="s">
        <v>854</v>
      </c>
      <c r="D954" s="25"/>
      <c r="E954" s="57"/>
      <c r="F954" s="17"/>
      <c r="G954" s="76"/>
      <c r="H954" s="78"/>
      <c r="I954" s="19">
        <f>SUM(I955:I959)</f>
        <v>0</v>
      </c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>
        <f t="shared" si="106"/>
        <v>0</v>
      </c>
      <c r="W954" s="17"/>
    </row>
    <row r="955" spans="1:23" ht="18.75" customHeight="1" hidden="1">
      <c r="A955" s="79"/>
      <c r="B955" s="79"/>
      <c r="C955" s="134"/>
      <c r="D955" s="26"/>
      <c r="E955" s="16"/>
      <c r="F955" s="94"/>
      <c r="G955" s="76"/>
      <c r="H955" s="95"/>
      <c r="I955" s="30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>
        <f t="shared" si="106"/>
        <v>0</v>
      </c>
      <c r="W955" s="17"/>
    </row>
    <row r="956" spans="1:23" ht="18.75" customHeight="1" hidden="1">
      <c r="A956" s="79"/>
      <c r="B956" s="79"/>
      <c r="C956" s="134"/>
      <c r="D956" s="26"/>
      <c r="E956" s="57"/>
      <c r="F956" s="17"/>
      <c r="G956" s="76"/>
      <c r="H956" s="78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>
        <f t="shared" si="106"/>
        <v>0</v>
      </c>
      <c r="W956" s="17"/>
    </row>
    <row r="957" spans="1:23" ht="18.75" customHeight="1" hidden="1">
      <c r="A957" s="79"/>
      <c r="B957" s="79"/>
      <c r="C957" s="134"/>
      <c r="D957" s="26"/>
      <c r="E957" s="57"/>
      <c r="F957" s="17"/>
      <c r="G957" s="76"/>
      <c r="H957" s="78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>
        <f t="shared" si="106"/>
        <v>0</v>
      </c>
      <c r="W957" s="17"/>
    </row>
    <row r="958" spans="1:23" ht="18.75" customHeight="1" hidden="1">
      <c r="A958" s="79"/>
      <c r="B958" s="79"/>
      <c r="C958" s="134"/>
      <c r="D958" s="26"/>
      <c r="E958" s="20"/>
      <c r="F958" s="17"/>
      <c r="G958" s="76"/>
      <c r="H958" s="78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>
        <f t="shared" si="106"/>
        <v>0</v>
      </c>
      <c r="W958" s="17"/>
    </row>
    <row r="959" spans="1:23" ht="18.75" customHeight="1" hidden="1">
      <c r="A959" s="79"/>
      <c r="B959" s="79"/>
      <c r="C959" s="134"/>
      <c r="D959" s="26"/>
      <c r="E959" s="20"/>
      <c r="F959" s="17"/>
      <c r="G959" s="76"/>
      <c r="H959" s="78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>
        <f t="shared" si="106"/>
        <v>0</v>
      </c>
      <c r="W959" s="17"/>
    </row>
    <row r="960" spans="1:23" ht="18" hidden="1">
      <c r="A960" s="79"/>
      <c r="B960" s="79"/>
      <c r="C960" s="26" t="s">
        <v>677</v>
      </c>
      <c r="D960" s="26"/>
      <c r="E960" s="16"/>
      <c r="F960" s="94"/>
      <c r="G960" s="76"/>
      <c r="H960" s="95"/>
      <c r="I960" s="35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>
        <f t="shared" si="106"/>
        <v>0</v>
      </c>
      <c r="W960" s="17"/>
    </row>
    <row r="961" spans="1:23" ht="18.75" customHeight="1" hidden="1">
      <c r="A961" s="38"/>
      <c r="B961" s="38"/>
      <c r="C961" s="132" t="s">
        <v>678</v>
      </c>
      <c r="D961" s="25"/>
      <c r="E961" s="57"/>
      <c r="F961" s="17"/>
      <c r="G961" s="76"/>
      <c r="H961" s="78"/>
      <c r="I961" s="19">
        <f>I962+I963+I964+I970+I973+I980</f>
        <v>0</v>
      </c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>
        <f t="shared" si="106"/>
        <v>0</v>
      </c>
      <c r="W961" s="17"/>
    </row>
    <row r="962" spans="1:23" ht="18.75" customHeight="1" hidden="1">
      <c r="A962" s="79"/>
      <c r="B962" s="79"/>
      <c r="C962" s="134"/>
      <c r="D962" s="26"/>
      <c r="E962" s="16"/>
      <c r="F962" s="17"/>
      <c r="G962" s="76"/>
      <c r="H962" s="78"/>
      <c r="I962" s="30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>
        <f t="shared" si="106"/>
        <v>0</v>
      </c>
      <c r="W962" s="17"/>
    </row>
    <row r="963" spans="1:23" ht="18.75" customHeight="1" hidden="1">
      <c r="A963" s="79"/>
      <c r="B963" s="79"/>
      <c r="C963" s="134"/>
      <c r="D963" s="26"/>
      <c r="E963" s="16"/>
      <c r="F963" s="17"/>
      <c r="G963" s="76"/>
      <c r="H963" s="78"/>
      <c r="I963" s="30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>
        <f t="shared" si="106"/>
        <v>0</v>
      </c>
      <c r="W963" s="17"/>
    </row>
    <row r="964" spans="1:23" ht="47.25" customHeight="1" hidden="1">
      <c r="A964" s="177"/>
      <c r="B964" s="177"/>
      <c r="C964" s="134"/>
      <c r="D964" s="26"/>
      <c r="E964" s="18" t="s">
        <v>69</v>
      </c>
      <c r="F964" s="17"/>
      <c r="G964" s="76"/>
      <c r="H964" s="78"/>
      <c r="I964" s="35">
        <f>SUM(I965:I969)</f>
        <v>0</v>
      </c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>
        <f t="shared" si="106"/>
        <v>0</v>
      </c>
      <c r="W964" s="17"/>
    </row>
    <row r="965" spans="1:23" ht="31.5" customHeight="1" hidden="1">
      <c r="A965" s="177"/>
      <c r="B965" s="177"/>
      <c r="C965" s="134"/>
      <c r="D965" s="26"/>
      <c r="E965" s="16" t="s">
        <v>70</v>
      </c>
      <c r="F965" s="17"/>
      <c r="G965" s="76"/>
      <c r="H965" s="78"/>
      <c r="I965" s="30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>
        <f t="shared" si="106"/>
        <v>0</v>
      </c>
      <c r="W965" s="17"/>
    </row>
    <row r="966" spans="1:23" ht="47.25" customHeight="1" hidden="1">
      <c r="A966" s="177"/>
      <c r="B966" s="177"/>
      <c r="C966" s="134"/>
      <c r="D966" s="26"/>
      <c r="E966" s="16" t="s">
        <v>71</v>
      </c>
      <c r="F966" s="17"/>
      <c r="G966" s="76"/>
      <c r="H966" s="78"/>
      <c r="I966" s="30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>
        <f t="shared" si="106"/>
        <v>0</v>
      </c>
      <c r="W966" s="17"/>
    </row>
    <row r="967" spans="1:23" ht="47.25" customHeight="1" hidden="1">
      <c r="A967" s="177"/>
      <c r="B967" s="177"/>
      <c r="C967" s="134"/>
      <c r="D967" s="26"/>
      <c r="E967" s="16" t="s">
        <v>744</v>
      </c>
      <c r="F967" s="17"/>
      <c r="G967" s="76"/>
      <c r="H967" s="78"/>
      <c r="I967" s="30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>
        <f t="shared" si="106"/>
        <v>0</v>
      </c>
      <c r="W967" s="17"/>
    </row>
    <row r="968" spans="1:23" ht="55.5" customHeight="1" hidden="1">
      <c r="A968" s="177"/>
      <c r="B968" s="177"/>
      <c r="C968" s="134"/>
      <c r="D968" s="26"/>
      <c r="E968" s="16" t="s">
        <v>745</v>
      </c>
      <c r="F968" s="17"/>
      <c r="G968" s="76"/>
      <c r="H968" s="78"/>
      <c r="I968" s="30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>
        <f t="shared" si="106"/>
        <v>0</v>
      </c>
      <c r="W968" s="17"/>
    </row>
    <row r="969" spans="1:23" ht="47.25" customHeight="1" hidden="1">
      <c r="A969" s="177"/>
      <c r="B969" s="177"/>
      <c r="C969" s="134"/>
      <c r="D969" s="26"/>
      <c r="E969" s="16" t="s">
        <v>746</v>
      </c>
      <c r="F969" s="17"/>
      <c r="G969" s="76"/>
      <c r="H969" s="78"/>
      <c r="I969" s="30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>
        <f t="shared" si="106"/>
        <v>0</v>
      </c>
      <c r="W969" s="17"/>
    </row>
    <row r="970" spans="1:23" ht="47.25" customHeight="1" hidden="1">
      <c r="A970" s="177"/>
      <c r="B970" s="177"/>
      <c r="C970" s="134"/>
      <c r="D970" s="26"/>
      <c r="E970" s="18" t="s">
        <v>782</v>
      </c>
      <c r="F970" s="19"/>
      <c r="G970" s="81"/>
      <c r="H970" s="93"/>
      <c r="I970" s="35">
        <f>SUM(I971:I972)</f>
        <v>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>
        <f t="shared" si="106"/>
        <v>0</v>
      </c>
      <c r="W970" s="17"/>
    </row>
    <row r="971" spans="1:23" ht="31.5" customHeight="1" hidden="1">
      <c r="A971" s="177"/>
      <c r="B971" s="177"/>
      <c r="C971" s="134"/>
      <c r="D971" s="26"/>
      <c r="E971" s="16" t="s">
        <v>13</v>
      </c>
      <c r="F971" s="17"/>
      <c r="G971" s="76"/>
      <c r="H971" s="78"/>
      <c r="I971" s="30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>
        <f t="shared" si="106"/>
        <v>0</v>
      </c>
      <c r="W971" s="17"/>
    </row>
    <row r="972" spans="1:23" ht="31.5" customHeight="1" hidden="1">
      <c r="A972" s="177"/>
      <c r="B972" s="177"/>
      <c r="C972" s="134"/>
      <c r="D972" s="26"/>
      <c r="E972" s="16" t="s">
        <v>14</v>
      </c>
      <c r="F972" s="17"/>
      <c r="G972" s="76"/>
      <c r="H972" s="78"/>
      <c r="I972" s="30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>
        <f t="shared" si="106"/>
        <v>0</v>
      </c>
      <c r="W972" s="17"/>
    </row>
    <row r="973" spans="1:23" ht="47.25" customHeight="1" hidden="1">
      <c r="A973" s="177"/>
      <c r="B973" s="177"/>
      <c r="C973" s="134"/>
      <c r="D973" s="26"/>
      <c r="E973" s="18" t="s">
        <v>15</v>
      </c>
      <c r="F973" s="19"/>
      <c r="G973" s="81"/>
      <c r="H973" s="93"/>
      <c r="I973" s="35">
        <f>SUM(I974:I979)</f>
        <v>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>
        <f t="shared" si="106"/>
        <v>0</v>
      </c>
      <c r="W973" s="17"/>
    </row>
    <row r="974" spans="1:23" ht="18.75" customHeight="1" hidden="1">
      <c r="A974" s="177"/>
      <c r="B974" s="177"/>
      <c r="C974" s="134"/>
      <c r="D974" s="26"/>
      <c r="E974" s="16"/>
      <c r="F974" s="17"/>
      <c r="G974" s="76"/>
      <c r="H974" s="78"/>
      <c r="I974" s="30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>
        <f t="shared" si="106"/>
        <v>0</v>
      </c>
      <c r="W974" s="17"/>
    </row>
    <row r="975" spans="1:23" ht="21" customHeight="1" hidden="1">
      <c r="A975" s="177"/>
      <c r="B975" s="177"/>
      <c r="C975" s="134"/>
      <c r="D975" s="26"/>
      <c r="E975" s="16"/>
      <c r="F975" s="17"/>
      <c r="G975" s="76"/>
      <c r="H975" s="78"/>
      <c r="I975" s="30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>
        <f t="shared" si="106"/>
        <v>0</v>
      </c>
      <c r="W975" s="17"/>
    </row>
    <row r="976" spans="1:23" ht="51" customHeight="1" hidden="1">
      <c r="A976" s="177"/>
      <c r="B976" s="177"/>
      <c r="C976" s="134"/>
      <c r="D976" s="26"/>
      <c r="E976" s="16"/>
      <c r="F976" s="17"/>
      <c r="G976" s="76"/>
      <c r="H976" s="78"/>
      <c r="I976" s="30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>
        <f t="shared" si="106"/>
        <v>0</v>
      </c>
      <c r="W976" s="17"/>
    </row>
    <row r="977" spans="1:23" ht="18.75" customHeight="1" hidden="1">
      <c r="A977" s="177"/>
      <c r="B977" s="177"/>
      <c r="C977" s="134"/>
      <c r="D977" s="26"/>
      <c r="E977" s="16"/>
      <c r="F977" s="17"/>
      <c r="G977" s="76"/>
      <c r="H977" s="78"/>
      <c r="I977" s="30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>
        <f t="shared" si="106"/>
        <v>0</v>
      </c>
      <c r="W977" s="17"/>
    </row>
    <row r="978" spans="1:23" ht="18.75" customHeight="1" hidden="1">
      <c r="A978" s="177"/>
      <c r="B978" s="177"/>
      <c r="C978" s="134"/>
      <c r="D978" s="26"/>
      <c r="E978" s="16"/>
      <c r="F978" s="17"/>
      <c r="G978" s="76"/>
      <c r="H978" s="78"/>
      <c r="I978" s="30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>
        <f t="shared" si="106"/>
        <v>0</v>
      </c>
      <c r="W978" s="17"/>
    </row>
    <row r="979" spans="1:23" ht="18.75" customHeight="1" hidden="1">
      <c r="A979" s="177"/>
      <c r="B979" s="177"/>
      <c r="C979" s="134"/>
      <c r="D979" s="26"/>
      <c r="E979" s="16"/>
      <c r="F979" s="17"/>
      <c r="G979" s="76"/>
      <c r="H979" s="78"/>
      <c r="I979" s="30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>
        <f t="shared" si="106"/>
        <v>0</v>
      </c>
      <c r="W979" s="17"/>
    </row>
    <row r="980" spans="1:23" ht="31.5" customHeight="1" hidden="1">
      <c r="A980" s="177"/>
      <c r="B980" s="177"/>
      <c r="C980" s="134"/>
      <c r="D980" s="26"/>
      <c r="E980" s="18" t="s">
        <v>1004</v>
      </c>
      <c r="F980" s="19"/>
      <c r="G980" s="81"/>
      <c r="H980" s="93"/>
      <c r="I980" s="35">
        <f>I981</f>
        <v>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>
        <f t="shared" si="106"/>
        <v>0</v>
      </c>
      <c r="W980" s="17"/>
    </row>
    <row r="981" spans="1:23" ht="18.75" customHeight="1" hidden="1">
      <c r="A981" s="177"/>
      <c r="B981" s="177"/>
      <c r="C981" s="134"/>
      <c r="D981" s="26"/>
      <c r="E981" s="45"/>
      <c r="F981" s="96"/>
      <c r="G981" s="83"/>
      <c r="H981" s="97"/>
      <c r="I981" s="98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>
        <f t="shared" si="106"/>
        <v>0</v>
      </c>
      <c r="W981" s="17"/>
    </row>
    <row r="982" spans="1:23" ht="56.25">
      <c r="A982" s="173">
        <v>4800000</v>
      </c>
      <c r="B982" s="55"/>
      <c r="C982" s="23"/>
      <c r="D982" s="165" t="s">
        <v>562</v>
      </c>
      <c r="E982" s="178"/>
      <c r="F982" s="63"/>
      <c r="G982" s="99"/>
      <c r="H982" s="63"/>
      <c r="I982" s="65">
        <f>I983</f>
        <v>184833271</v>
      </c>
      <c r="J982" s="65">
        <f aca="true" t="shared" si="107" ref="J982:W982">J983</f>
        <v>0</v>
      </c>
      <c r="K982" s="65">
        <f t="shared" si="107"/>
        <v>1835800</v>
      </c>
      <c r="L982" s="65">
        <f t="shared" si="107"/>
        <v>30907671.54</v>
      </c>
      <c r="M982" s="65">
        <f t="shared" si="107"/>
        <v>22561500</v>
      </c>
      <c r="N982" s="65">
        <f t="shared" si="107"/>
        <v>4770000</v>
      </c>
      <c r="O982" s="65">
        <f t="shared" si="107"/>
        <v>2709084.46</v>
      </c>
      <c r="P982" s="65">
        <f t="shared" si="107"/>
        <v>20331395</v>
      </c>
      <c r="Q982" s="65">
        <f t="shared" si="107"/>
        <v>20372020</v>
      </c>
      <c r="R982" s="65">
        <f t="shared" si="107"/>
        <v>11250000</v>
      </c>
      <c r="S982" s="65">
        <f t="shared" si="107"/>
        <v>16515000</v>
      </c>
      <c r="T982" s="65">
        <f t="shared" si="107"/>
        <v>28700000</v>
      </c>
      <c r="U982" s="65">
        <f t="shared" si="107"/>
        <v>24880800</v>
      </c>
      <c r="V982" s="65">
        <f t="shared" si="107"/>
        <v>-9.313225746154785E-10</v>
      </c>
      <c r="W982" s="65">
        <f t="shared" si="107"/>
        <v>55944456.89</v>
      </c>
    </row>
    <row r="983" spans="1:23" ht="56.25">
      <c r="A983" s="173">
        <v>4810000</v>
      </c>
      <c r="B983" s="55"/>
      <c r="C983" s="23"/>
      <c r="D983" s="165" t="s">
        <v>562</v>
      </c>
      <c r="E983" s="178"/>
      <c r="F983" s="63"/>
      <c r="G983" s="99"/>
      <c r="H983" s="63"/>
      <c r="I983" s="65">
        <f>I984+I988+I1006+I1025+I1028+I1030+I1065+I1070</f>
        <v>184833271</v>
      </c>
      <c r="J983" s="65">
        <f aca="true" t="shared" si="108" ref="J983:W983">J984+J988+J1006+J1025+J1028+J1030+J1065+J1070</f>
        <v>0</v>
      </c>
      <c r="K983" s="65">
        <f t="shared" si="108"/>
        <v>1835800</v>
      </c>
      <c r="L983" s="65">
        <f t="shared" si="108"/>
        <v>30907671.54</v>
      </c>
      <c r="M983" s="65">
        <f t="shared" si="108"/>
        <v>22561500</v>
      </c>
      <c r="N983" s="65">
        <f t="shared" si="108"/>
        <v>4770000</v>
      </c>
      <c r="O983" s="65">
        <f t="shared" si="108"/>
        <v>2709084.46</v>
      </c>
      <c r="P983" s="65">
        <f t="shared" si="108"/>
        <v>20331395</v>
      </c>
      <c r="Q983" s="65">
        <f t="shared" si="108"/>
        <v>20372020</v>
      </c>
      <c r="R983" s="65">
        <f t="shared" si="108"/>
        <v>11250000</v>
      </c>
      <c r="S983" s="65">
        <f t="shared" si="108"/>
        <v>16515000</v>
      </c>
      <c r="T983" s="65">
        <f t="shared" si="108"/>
        <v>28700000</v>
      </c>
      <c r="U983" s="65">
        <f t="shared" si="108"/>
        <v>24880800</v>
      </c>
      <c r="V983" s="65">
        <f t="shared" si="108"/>
        <v>-9.313225746154785E-10</v>
      </c>
      <c r="W983" s="65">
        <f t="shared" si="108"/>
        <v>55944456.89</v>
      </c>
    </row>
    <row r="984" spans="1:23" ht="18.75">
      <c r="A984" s="132" t="s">
        <v>535</v>
      </c>
      <c r="B984" s="132" t="s">
        <v>677</v>
      </c>
      <c r="C984" s="136" t="s">
        <v>676</v>
      </c>
      <c r="D984" s="145" t="s">
        <v>868</v>
      </c>
      <c r="E984" s="39"/>
      <c r="F984" s="39"/>
      <c r="G984" s="39"/>
      <c r="H984" s="39"/>
      <c r="I984" s="19">
        <f>SUM(I985:I987)</f>
        <v>549000</v>
      </c>
      <c r="J984" s="19">
        <f aca="true" t="shared" si="109" ref="J984:W984">SUM(J985:J987)</f>
        <v>0</v>
      </c>
      <c r="K984" s="19">
        <f t="shared" si="109"/>
        <v>0</v>
      </c>
      <c r="L984" s="19">
        <f t="shared" si="109"/>
        <v>0</v>
      </c>
      <c r="M984" s="19">
        <f t="shared" si="109"/>
        <v>47000</v>
      </c>
      <c r="N984" s="19">
        <f t="shared" si="109"/>
        <v>502000</v>
      </c>
      <c r="O984" s="19">
        <f t="shared" si="109"/>
        <v>-500000</v>
      </c>
      <c r="P984" s="19">
        <f t="shared" si="109"/>
        <v>415000</v>
      </c>
      <c r="Q984" s="19">
        <f t="shared" si="109"/>
        <v>85000</v>
      </c>
      <c r="R984" s="19">
        <f t="shared" si="109"/>
        <v>0</v>
      </c>
      <c r="S984" s="19">
        <f t="shared" si="109"/>
        <v>0</v>
      </c>
      <c r="T984" s="19">
        <f t="shared" si="109"/>
        <v>0</v>
      </c>
      <c r="U984" s="19">
        <f t="shared" si="109"/>
        <v>0</v>
      </c>
      <c r="V984" s="19">
        <f t="shared" si="109"/>
        <v>0</v>
      </c>
      <c r="W984" s="19">
        <f t="shared" si="109"/>
        <v>46999.98</v>
      </c>
    </row>
    <row r="985" spans="1:23" ht="18.75">
      <c r="A985" s="134"/>
      <c r="B985" s="134"/>
      <c r="C985" s="138"/>
      <c r="D985" s="146"/>
      <c r="E985" s="57" t="s">
        <v>725</v>
      </c>
      <c r="F985" s="57"/>
      <c r="G985" s="57"/>
      <c r="H985" s="57"/>
      <c r="I985" s="17">
        <v>502000</v>
      </c>
      <c r="J985" s="17"/>
      <c r="K985" s="17"/>
      <c r="L985" s="17"/>
      <c r="M985" s="17"/>
      <c r="N985" s="17">
        <v>502000</v>
      </c>
      <c r="O985" s="17">
        <v>-500000</v>
      </c>
      <c r="P985" s="17">
        <v>415000</v>
      </c>
      <c r="Q985" s="17">
        <v>85000</v>
      </c>
      <c r="R985" s="17"/>
      <c r="S985" s="17"/>
      <c r="T985" s="17"/>
      <c r="U985" s="17"/>
      <c r="V985" s="17">
        <f t="shared" si="106"/>
        <v>0</v>
      </c>
      <c r="W985" s="17"/>
    </row>
    <row r="986" spans="1:23" ht="72" hidden="1">
      <c r="A986" s="134"/>
      <c r="B986" s="134"/>
      <c r="C986" s="138"/>
      <c r="D986" s="146"/>
      <c r="E986" s="57" t="s">
        <v>726</v>
      </c>
      <c r="F986" s="57"/>
      <c r="G986" s="57"/>
      <c r="H986" s="57"/>
      <c r="I986" s="17">
        <f>15480-15480</f>
        <v>0</v>
      </c>
      <c r="J986" s="17"/>
      <c r="K986" s="17"/>
      <c r="L986" s="17"/>
      <c r="M986" s="17"/>
      <c r="N986" s="17"/>
      <c r="O986" s="17"/>
      <c r="P986" s="17"/>
      <c r="Q986" s="17">
        <f>15480-15480</f>
        <v>0</v>
      </c>
      <c r="R986" s="17"/>
      <c r="S986" s="17"/>
      <c r="T986" s="17"/>
      <c r="U986" s="17"/>
      <c r="V986" s="17">
        <f t="shared" si="106"/>
        <v>0</v>
      </c>
      <c r="W986" s="17"/>
    </row>
    <row r="987" spans="1:23" ht="65.25" customHeight="1">
      <c r="A987" s="134"/>
      <c r="B987" s="133"/>
      <c r="C987" s="138"/>
      <c r="D987" s="146"/>
      <c r="E987" s="57" t="s">
        <v>727</v>
      </c>
      <c r="F987" s="57"/>
      <c r="G987" s="57"/>
      <c r="H987" s="57"/>
      <c r="I987" s="17">
        <v>47000</v>
      </c>
      <c r="J987" s="17"/>
      <c r="K987" s="17"/>
      <c r="L987" s="17"/>
      <c r="M987" s="17">
        <v>47000</v>
      </c>
      <c r="N987" s="17">
        <f>47000-47000</f>
        <v>0</v>
      </c>
      <c r="O987" s="17"/>
      <c r="P987" s="17"/>
      <c r="Q987" s="17"/>
      <c r="R987" s="17"/>
      <c r="S987" s="17"/>
      <c r="T987" s="17"/>
      <c r="U987" s="17"/>
      <c r="V987" s="17">
        <f t="shared" si="106"/>
        <v>0</v>
      </c>
      <c r="W987" s="17">
        <v>46999.98</v>
      </c>
    </row>
    <row r="988" spans="1:23" ht="18.75">
      <c r="A988" s="132" t="s">
        <v>938</v>
      </c>
      <c r="B988" s="132" t="s">
        <v>242</v>
      </c>
      <c r="C988" s="132" t="s">
        <v>682</v>
      </c>
      <c r="D988" s="145" t="s">
        <v>784</v>
      </c>
      <c r="E988" s="39"/>
      <c r="F988" s="39"/>
      <c r="G988" s="39"/>
      <c r="H988" s="39"/>
      <c r="I988" s="19">
        <f>SUM(I989:I992)</f>
        <v>2564000</v>
      </c>
      <c r="J988" s="19">
        <f aca="true" t="shared" si="110" ref="J988:W988">SUM(J989:J992)</f>
        <v>0</v>
      </c>
      <c r="K988" s="19">
        <f t="shared" si="110"/>
        <v>0</v>
      </c>
      <c r="L988" s="19">
        <f t="shared" si="110"/>
        <v>0</v>
      </c>
      <c r="M988" s="19">
        <f t="shared" si="110"/>
        <v>1000000</v>
      </c>
      <c r="N988" s="19">
        <f t="shared" si="110"/>
        <v>-1000000</v>
      </c>
      <c r="O988" s="19">
        <f t="shared" si="110"/>
        <v>0</v>
      </c>
      <c r="P988" s="19">
        <f t="shared" si="110"/>
        <v>1000000</v>
      </c>
      <c r="Q988" s="19">
        <f t="shared" si="110"/>
        <v>0</v>
      </c>
      <c r="R988" s="19">
        <f t="shared" si="110"/>
        <v>0</v>
      </c>
      <c r="S988" s="19">
        <f t="shared" si="110"/>
        <v>0</v>
      </c>
      <c r="T988" s="19">
        <f t="shared" si="110"/>
        <v>480000</v>
      </c>
      <c r="U988" s="19">
        <f t="shared" si="110"/>
        <v>1084000</v>
      </c>
      <c r="V988" s="19">
        <f t="shared" si="110"/>
        <v>0</v>
      </c>
      <c r="W988" s="19">
        <f t="shared" si="110"/>
        <v>0</v>
      </c>
    </row>
    <row r="989" spans="1:23" ht="66.75" customHeight="1">
      <c r="A989" s="134"/>
      <c r="B989" s="134"/>
      <c r="C989" s="134"/>
      <c r="D989" s="146"/>
      <c r="E989" s="22" t="s">
        <v>728</v>
      </c>
      <c r="F989" s="84">
        <f>I989</f>
        <v>2000000</v>
      </c>
      <c r="G989" s="83">
        <v>1</v>
      </c>
      <c r="H989" s="84">
        <f>I989</f>
        <v>2000000</v>
      </c>
      <c r="I989" s="21">
        <v>2000000</v>
      </c>
      <c r="J989" s="17"/>
      <c r="K989" s="17"/>
      <c r="L989" s="17"/>
      <c r="M989" s="17">
        <v>1000000</v>
      </c>
      <c r="N989" s="17">
        <v>-1000000</v>
      </c>
      <c r="O989" s="17"/>
      <c r="P989" s="17">
        <v>1000000</v>
      </c>
      <c r="Q989" s="17"/>
      <c r="R989" s="17"/>
      <c r="S989" s="17"/>
      <c r="T989" s="17">
        <v>400000</v>
      </c>
      <c r="U989" s="17">
        <v>600000</v>
      </c>
      <c r="V989" s="17">
        <f t="shared" si="106"/>
        <v>0</v>
      </c>
      <c r="W989" s="17"/>
    </row>
    <row r="990" spans="1:23" ht="56.25">
      <c r="A990" s="134"/>
      <c r="B990" s="134"/>
      <c r="C990" s="134"/>
      <c r="D990" s="146"/>
      <c r="E990" s="22" t="s">
        <v>163</v>
      </c>
      <c r="F990" s="84">
        <f>I990</f>
        <v>400000</v>
      </c>
      <c r="G990" s="83">
        <v>1</v>
      </c>
      <c r="H990" s="84">
        <f>I990</f>
        <v>400000</v>
      </c>
      <c r="I990" s="21">
        <v>400000</v>
      </c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>
        <v>400000</v>
      </c>
      <c r="V990" s="17">
        <f t="shared" si="106"/>
        <v>0</v>
      </c>
      <c r="W990" s="17"/>
    </row>
    <row r="991" spans="1:23" ht="75">
      <c r="A991" s="134"/>
      <c r="B991" s="134"/>
      <c r="C991" s="134"/>
      <c r="D991" s="146"/>
      <c r="E991" s="22" t="s">
        <v>28</v>
      </c>
      <c r="F991" s="84">
        <f>I991</f>
        <v>164000</v>
      </c>
      <c r="G991" s="83">
        <v>1</v>
      </c>
      <c r="H991" s="84">
        <f>I991</f>
        <v>164000</v>
      </c>
      <c r="I991" s="21">
        <v>164000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>
        <v>80000</v>
      </c>
      <c r="U991" s="17">
        <v>84000</v>
      </c>
      <c r="V991" s="17">
        <f t="shared" si="106"/>
        <v>0</v>
      </c>
      <c r="W991" s="17"/>
    </row>
    <row r="992" spans="1:23" ht="18" hidden="1">
      <c r="A992" s="134"/>
      <c r="B992" s="133"/>
      <c r="C992" s="134"/>
      <c r="D992" s="146"/>
      <c r="E992" s="20"/>
      <c r="F992" s="20"/>
      <c r="G992" s="20"/>
      <c r="H992" s="20"/>
      <c r="I992" s="21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06"/>
        <v>0</v>
      </c>
      <c r="W992" s="17"/>
    </row>
    <row r="993" spans="1:23" ht="18" customHeight="1" hidden="1">
      <c r="A993" s="179" t="s">
        <v>590</v>
      </c>
      <c r="B993" s="180"/>
      <c r="C993" s="179" t="s">
        <v>591</v>
      </c>
      <c r="D993" s="139" t="s">
        <v>785</v>
      </c>
      <c r="E993" s="39"/>
      <c r="F993" s="39"/>
      <c r="G993" s="39"/>
      <c r="H993" s="39"/>
      <c r="I993" s="19">
        <f>I994</f>
        <v>0</v>
      </c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06"/>
        <v>0</v>
      </c>
      <c r="W993" s="17"/>
    </row>
    <row r="994" spans="1:23" ht="18" hidden="1">
      <c r="A994" s="181"/>
      <c r="B994" s="182"/>
      <c r="C994" s="181"/>
      <c r="D994" s="131"/>
      <c r="E994" s="16"/>
      <c r="F994" s="16"/>
      <c r="G994" s="16"/>
      <c r="H994" s="16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>
        <f t="shared" si="106"/>
        <v>0</v>
      </c>
      <c r="W994" s="17"/>
    </row>
    <row r="995" spans="1:23" ht="18" hidden="1">
      <c r="A995" s="132" t="s">
        <v>117</v>
      </c>
      <c r="B995" s="25"/>
      <c r="C995" s="132" t="s">
        <v>116</v>
      </c>
      <c r="D995" s="145" t="s">
        <v>861</v>
      </c>
      <c r="E995" s="18"/>
      <c r="F995" s="18"/>
      <c r="G995" s="18"/>
      <c r="H995" s="18"/>
      <c r="I995" s="58">
        <f>I996</f>
        <v>0</v>
      </c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>
        <f t="shared" si="106"/>
        <v>0</v>
      </c>
      <c r="W995" s="17"/>
    </row>
    <row r="996" spans="1:23" ht="18" hidden="1">
      <c r="A996" s="133"/>
      <c r="B996" s="28"/>
      <c r="C996" s="133"/>
      <c r="D996" s="146"/>
      <c r="E996" s="61"/>
      <c r="F996" s="61"/>
      <c r="G996" s="61"/>
      <c r="H996" s="61"/>
      <c r="I996" s="60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>
        <f t="shared" si="106"/>
        <v>0</v>
      </c>
      <c r="W996" s="17"/>
    </row>
    <row r="997" spans="1:23" ht="18" hidden="1">
      <c r="A997" s="132" t="s">
        <v>862</v>
      </c>
      <c r="B997" s="25"/>
      <c r="C997" s="132" t="s">
        <v>863</v>
      </c>
      <c r="D997" s="145" t="s">
        <v>851</v>
      </c>
      <c r="E997" s="39"/>
      <c r="F997" s="39"/>
      <c r="G997" s="39"/>
      <c r="H997" s="39"/>
      <c r="I997" s="58">
        <f>SUM(I998:I1001)</f>
        <v>0</v>
      </c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>
        <f t="shared" si="106"/>
        <v>0</v>
      </c>
      <c r="W997" s="17"/>
    </row>
    <row r="998" spans="1:23" ht="18" hidden="1">
      <c r="A998" s="134"/>
      <c r="B998" s="26"/>
      <c r="C998" s="134"/>
      <c r="D998" s="146"/>
      <c r="E998" s="16"/>
      <c r="F998" s="16"/>
      <c r="G998" s="16"/>
      <c r="H998" s="16"/>
      <c r="I998" s="59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>
        <f t="shared" si="106"/>
        <v>0</v>
      </c>
      <c r="W998" s="17"/>
    </row>
    <row r="999" spans="1:23" ht="18" hidden="1">
      <c r="A999" s="134"/>
      <c r="B999" s="26"/>
      <c r="C999" s="134"/>
      <c r="D999" s="146"/>
      <c r="E999" s="16"/>
      <c r="F999" s="16"/>
      <c r="G999" s="16"/>
      <c r="H999" s="16"/>
      <c r="I999" s="59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>
        <f aca="true" t="shared" si="111" ref="V999:V1067">I999-J999-K999-L999-M999-N999-O999-P999-Q999-R999-S999-T999-U999</f>
        <v>0</v>
      </c>
      <c r="W999" s="17"/>
    </row>
    <row r="1000" spans="1:23" ht="18" hidden="1">
      <c r="A1000" s="134"/>
      <c r="B1000" s="26"/>
      <c r="C1000" s="134"/>
      <c r="D1000" s="146"/>
      <c r="E1000" s="16"/>
      <c r="F1000" s="16"/>
      <c r="G1000" s="16"/>
      <c r="H1000" s="16"/>
      <c r="I1000" s="59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1"/>
        <v>0</v>
      </c>
      <c r="W1000" s="17"/>
    </row>
    <row r="1001" spans="1:23" ht="18" hidden="1">
      <c r="A1001" s="133"/>
      <c r="B1001" s="28"/>
      <c r="C1001" s="133"/>
      <c r="D1001" s="135"/>
      <c r="E1001" s="16"/>
      <c r="F1001" s="16"/>
      <c r="G1001" s="16"/>
      <c r="H1001" s="16"/>
      <c r="I1001" s="60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>
        <f t="shared" si="111"/>
        <v>0</v>
      </c>
      <c r="W1001" s="17"/>
    </row>
    <row r="1002" spans="1:23" ht="18" hidden="1">
      <c r="A1002" s="132" t="s">
        <v>760</v>
      </c>
      <c r="B1002" s="25"/>
      <c r="C1002" s="132" t="s">
        <v>759</v>
      </c>
      <c r="D1002" s="145" t="s">
        <v>761</v>
      </c>
      <c r="E1002" s="39"/>
      <c r="F1002" s="39"/>
      <c r="G1002" s="39"/>
      <c r="H1002" s="39"/>
      <c r="I1002" s="58">
        <f>SUM(I1003:I1005)</f>
        <v>0</v>
      </c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>
        <f t="shared" si="111"/>
        <v>0</v>
      </c>
      <c r="W1002" s="17"/>
    </row>
    <row r="1003" spans="1:23" ht="18" hidden="1">
      <c r="A1003" s="134"/>
      <c r="B1003" s="26"/>
      <c r="C1003" s="134"/>
      <c r="D1003" s="146"/>
      <c r="E1003" s="16"/>
      <c r="F1003" s="16"/>
      <c r="G1003" s="16"/>
      <c r="H1003" s="16"/>
      <c r="I1003" s="59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>
        <f t="shared" si="111"/>
        <v>0</v>
      </c>
      <c r="W1003" s="17"/>
    </row>
    <row r="1004" spans="1:23" ht="18" hidden="1">
      <c r="A1004" s="134"/>
      <c r="B1004" s="26"/>
      <c r="C1004" s="134"/>
      <c r="D1004" s="146"/>
      <c r="E1004" s="16"/>
      <c r="F1004" s="16"/>
      <c r="G1004" s="16"/>
      <c r="H1004" s="16"/>
      <c r="I1004" s="59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>
        <f t="shared" si="111"/>
        <v>0</v>
      </c>
      <c r="W1004" s="17"/>
    </row>
    <row r="1005" spans="1:23" ht="18" hidden="1">
      <c r="A1005" s="133"/>
      <c r="B1005" s="28"/>
      <c r="C1005" s="133"/>
      <c r="D1005" s="135"/>
      <c r="E1005" s="16"/>
      <c r="F1005" s="16"/>
      <c r="G1005" s="16"/>
      <c r="H1005" s="16"/>
      <c r="I1005" s="60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>
        <f t="shared" si="111"/>
        <v>0</v>
      </c>
      <c r="W1005" s="17"/>
    </row>
    <row r="1006" spans="1:23" ht="18.75">
      <c r="A1006" s="132" t="s">
        <v>984</v>
      </c>
      <c r="B1006" s="132" t="s">
        <v>985</v>
      </c>
      <c r="C1006" s="132" t="s">
        <v>480</v>
      </c>
      <c r="D1006" s="145" t="s">
        <v>231</v>
      </c>
      <c r="E1006" s="39"/>
      <c r="F1006" s="39"/>
      <c r="G1006" s="39"/>
      <c r="H1006" s="39"/>
      <c r="I1006" s="19">
        <f>SUM(I1007:I1024)</f>
        <v>30292941</v>
      </c>
      <c r="J1006" s="19">
        <f aca="true" t="shared" si="112" ref="J1006:W1006">SUM(J1007:J1024)</f>
        <v>0</v>
      </c>
      <c r="K1006" s="19">
        <f t="shared" si="112"/>
        <v>235800</v>
      </c>
      <c r="L1006" s="19">
        <f t="shared" si="112"/>
        <v>585000</v>
      </c>
      <c r="M1006" s="19">
        <f t="shared" si="112"/>
        <v>4944470</v>
      </c>
      <c r="N1006" s="19">
        <f t="shared" si="112"/>
        <v>-1363000</v>
      </c>
      <c r="O1006" s="19">
        <f t="shared" si="112"/>
        <v>-219244</v>
      </c>
      <c r="P1006" s="19">
        <f t="shared" si="112"/>
        <v>6125000</v>
      </c>
      <c r="Q1006" s="19">
        <f t="shared" si="112"/>
        <v>928315</v>
      </c>
      <c r="R1006" s="19">
        <f t="shared" si="112"/>
        <v>54765</v>
      </c>
      <c r="S1006" s="19">
        <f t="shared" si="112"/>
        <v>4620000</v>
      </c>
      <c r="T1006" s="19">
        <f t="shared" si="112"/>
        <v>5936835</v>
      </c>
      <c r="U1006" s="19">
        <f t="shared" si="112"/>
        <v>8445000</v>
      </c>
      <c r="V1006" s="19">
        <f t="shared" si="112"/>
        <v>0</v>
      </c>
      <c r="W1006" s="19">
        <f t="shared" si="112"/>
        <v>958669.9</v>
      </c>
    </row>
    <row r="1007" spans="1:23" ht="150">
      <c r="A1007" s="134"/>
      <c r="B1007" s="134"/>
      <c r="C1007" s="134"/>
      <c r="D1007" s="146"/>
      <c r="E1007" s="36" t="s">
        <v>432</v>
      </c>
      <c r="F1007" s="84">
        <f>I1007</f>
        <v>235800</v>
      </c>
      <c r="G1007" s="83">
        <v>1</v>
      </c>
      <c r="H1007" s="84">
        <f aca="true" t="shared" si="113" ref="H1007:H1067">I1007</f>
        <v>235800</v>
      </c>
      <c r="I1007" s="30">
        <v>235800</v>
      </c>
      <c r="J1007" s="17"/>
      <c r="K1007" s="17">
        <v>235800</v>
      </c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1"/>
        <v>0</v>
      </c>
      <c r="W1007" s="17"/>
    </row>
    <row r="1008" spans="1:23" ht="93.75">
      <c r="A1008" s="134"/>
      <c r="B1008" s="134"/>
      <c r="C1008" s="134"/>
      <c r="D1008" s="146"/>
      <c r="E1008" s="16" t="s">
        <v>433</v>
      </c>
      <c r="F1008" s="84">
        <f>I1008</f>
        <v>1500000</v>
      </c>
      <c r="G1008" s="83">
        <v>1</v>
      </c>
      <c r="H1008" s="84">
        <f t="shared" si="113"/>
        <v>1500000</v>
      </c>
      <c r="I1008" s="24">
        <v>1500000</v>
      </c>
      <c r="J1008" s="17"/>
      <c r="K1008" s="17"/>
      <c r="L1008" s="17">
        <v>10000</v>
      </c>
      <c r="M1008" s="17">
        <v>820000</v>
      </c>
      <c r="N1008" s="17">
        <f>320000-1150000</f>
        <v>-830000</v>
      </c>
      <c r="O1008" s="17">
        <v>350000</v>
      </c>
      <c r="P1008" s="17">
        <v>1150000</v>
      </c>
      <c r="Q1008" s="17"/>
      <c r="R1008" s="17"/>
      <c r="S1008" s="17"/>
      <c r="T1008" s="17"/>
      <c r="U1008" s="17"/>
      <c r="V1008" s="17">
        <f t="shared" si="111"/>
        <v>0</v>
      </c>
      <c r="W1008" s="17">
        <f>9789.6</f>
        <v>9789.6</v>
      </c>
    </row>
    <row r="1009" spans="1:23" ht="56.25">
      <c r="A1009" s="134"/>
      <c r="B1009" s="134"/>
      <c r="C1009" s="134"/>
      <c r="D1009" s="146"/>
      <c r="E1009" s="16" t="s">
        <v>29</v>
      </c>
      <c r="F1009" s="84">
        <f aca="true" t="shared" si="114" ref="F1009:F1024">I1009</f>
        <v>300000</v>
      </c>
      <c r="G1009" s="83">
        <v>1</v>
      </c>
      <c r="H1009" s="84">
        <f t="shared" si="113"/>
        <v>300000</v>
      </c>
      <c r="I1009" s="24">
        <v>300000</v>
      </c>
      <c r="J1009" s="17"/>
      <c r="K1009" s="17"/>
      <c r="L1009" s="17"/>
      <c r="M1009" s="17">
        <v>300000</v>
      </c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1"/>
        <v>0</v>
      </c>
      <c r="W1009" s="17">
        <f>251195.7</f>
        <v>251195.7</v>
      </c>
    </row>
    <row r="1010" spans="1:23" ht="108" customHeight="1">
      <c r="A1010" s="134"/>
      <c r="B1010" s="134"/>
      <c r="C1010" s="134"/>
      <c r="D1010" s="146"/>
      <c r="E1010" s="142" t="s">
        <v>121</v>
      </c>
      <c r="F1010" s="84">
        <f t="shared" si="114"/>
        <v>1006835</v>
      </c>
      <c r="G1010" s="83">
        <v>1</v>
      </c>
      <c r="H1010" s="84">
        <f t="shared" si="113"/>
        <v>1006835</v>
      </c>
      <c r="I1010" s="24">
        <f>2006835-1000000</f>
        <v>1006835</v>
      </c>
      <c r="J1010" s="17"/>
      <c r="K1010" s="17"/>
      <c r="L1010" s="17">
        <v>200000</v>
      </c>
      <c r="M1010" s="17">
        <v>225685</v>
      </c>
      <c r="N1010" s="17">
        <v>100000</v>
      </c>
      <c r="O1010" s="17">
        <f>100000-290000</f>
        <v>-190000</v>
      </c>
      <c r="P1010" s="17">
        <v>44000</v>
      </c>
      <c r="Q1010" s="17">
        <f>174315+246000</f>
        <v>420315</v>
      </c>
      <c r="R1010" s="17"/>
      <c r="S1010" s="17">
        <v>100000</v>
      </c>
      <c r="T1010" s="17">
        <v>106835</v>
      </c>
      <c r="U1010" s="17"/>
      <c r="V1010" s="17">
        <f t="shared" si="111"/>
        <v>0</v>
      </c>
      <c r="W1010" s="17">
        <f>233763.06+3567.6</f>
        <v>237330.66</v>
      </c>
    </row>
    <row r="1011" spans="1:23" ht="18.75">
      <c r="A1011" s="134"/>
      <c r="B1011" s="134"/>
      <c r="C1011" s="134"/>
      <c r="D1011" s="146"/>
      <c r="E1011" s="143"/>
      <c r="F1011" s="84"/>
      <c r="G1011" s="83"/>
      <c r="H1011" s="84"/>
      <c r="I1011" s="24">
        <v>624756</v>
      </c>
      <c r="J1011" s="17"/>
      <c r="K1011" s="17"/>
      <c r="L1011" s="17"/>
      <c r="M1011" s="17"/>
      <c r="N1011" s="17"/>
      <c r="O1011" s="17">
        <v>624756</v>
      </c>
      <c r="P1011" s="17"/>
      <c r="Q1011" s="17"/>
      <c r="R1011" s="17"/>
      <c r="S1011" s="17"/>
      <c r="T1011" s="17"/>
      <c r="U1011" s="17"/>
      <c r="V1011" s="17"/>
      <c r="W1011" s="17"/>
    </row>
    <row r="1012" spans="1:23" ht="56.25">
      <c r="A1012" s="134"/>
      <c r="B1012" s="134"/>
      <c r="C1012" s="134"/>
      <c r="D1012" s="146"/>
      <c r="E1012" s="16" t="s">
        <v>670</v>
      </c>
      <c r="F1012" s="84">
        <f t="shared" si="114"/>
        <v>100000</v>
      </c>
      <c r="G1012" s="83">
        <v>1</v>
      </c>
      <c r="H1012" s="84">
        <f t="shared" si="113"/>
        <v>100000</v>
      </c>
      <c r="I1012" s="24">
        <v>100000</v>
      </c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>
        <v>100000</v>
      </c>
      <c r="V1012" s="17">
        <f t="shared" si="111"/>
        <v>0</v>
      </c>
      <c r="W1012" s="17"/>
    </row>
    <row r="1013" spans="1:23" ht="75">
      <c r="A1013" s="134"/>
      <c r="B1013" s="134"/>
      <c r="C1013" s="134"/>
      <c r="D1013" s="146"/>
      <c r="E1013" s="16" t="s">
        <v>30</v>
      </c>
      <c r="F1013" s="84">
        <f t="shared" si="114"/>
        <v>2000000</v>
      </c>
      <c r="G1013" s="83">
        <v>1</v>
      </c>
      <c r="H1013" s="84">
        <f t="shared" si="113"/>
        <v>2000000</v>
      </c>
      <c r="I1013" s="24">
        <v>2000000</v>
      </c>
      <c r="J1013" s="17"/>
      <c r="K1013" s="17"/>
      <c r="L1013" s="17"/>
      <c r="M1013" s="17">
        <v>500000</v>
      </c>
      <c r="N1013" s="17"/>
      <c r="O1013" s="17">
        <v>-400000</v>
      </c>
      <c r="P1013" s="17">
        <v>350000</v>
      </c>
      <c r="Q1013" s="17">
        <v>50000</v>
      </c>
      <c r="R1013" s="17"/>
      <c r="S1013" s="17">
        <v>500000</v>
      </c>
      <c r="T1013" s="17"/>
      <c r="U1013" s="17">
        <v>1000000</v>
      </c>
      <c r="V1013" s="17">
        <f t="shared" si="111"/>
        <v>0</v>
      </c>
      <c r="W1013" s="17"/>
    </row>
    <row r="1014" spans="1:23" ht="56.25">
      <c r="A1014" s="134"/>
      <c r="B1014" s="134"/>
      <c r="C1014" s="134"/>
      <c r="D1014" s="146"/>
      <c r="E1014" s="16" t="s">
        <v>31</v>
      </c>
      <c r="F1014" s="84">
        <f t="shared" si="114"/>
        <v>100000</v>
      </c>
      <c r="G1014" s="83">
        <v>1</v>
      </c>
      <c r="H1014" s="84">
        <f t="shared" si="113"/>
        <v>100000</v>
      </c>
      <c r="I1014" s="24">
        <v>100000</v>
      </c>
      <c r="J1014" s="17"/>
      <c r="K1014" s="17"/>
      <c r="L1014" s="17"/>
      <c r="M1014" s="17"/>
      <c r="N1014" s="17"/>
      <c r="O1014" s="17"/>
      <c r="P1014" s="17"/>
      <c r="Q1014" s="17"/>
      <c r="R1014" s="17"/>
      <c r="S1014" s="17">
        <v>100000</v>
      </c>
      <c r="T1014" s="17"/>
      <c r="U1014" s="17"/>
      <c r="V1014" s="17">
        <f t="shared" si="111"/>
        <v>0</v>
      </c>
      <c r="W1014" s="17"/>
    </row>
    <row r="1015" spans="1:23" ht="59.25" customHeight="1">
      <c r="A1015" s="134"/>
      <c r="B1015" s="134"/>
      <c r="C1015" s="134"/>
      <c r="D1015" s="146"/>
      <c r="E1015" s="16" t="s">
        <v>671</v>
      </c>
      <c r="F1015" s="84">
        <f t="shared" si="114"/>
        <v>550000</v>
      </c>
      <c r="G1015" s="83">
        <v>1</v>
      </c>
      <c r="H1015" s="84">
        <f t="shared" si="113"/>
        <v>550000</v>
      </c>
      <c r="I1015" s="24">
        <v>550000</v>
      </c>
      <c r="J1015" s="17"/>
      <c r="K1015" s="17"/>
      <c r="L1015" s="17"/>
      <c r="M1015" s="17">
        <f>400000-47000</f>
        <v>353000</v>
      </c>
      <c r="N1015" s="17">
        <v>47000</v>
      </c>
      <c r="O1015" s="17"/>
      <c r="P1015" s="17"/>
      <c r="Q1015" s="17"/>
      <c r="R1015" s="17"/>
      <c r="S1015" s="17"/>
      <c r="T1015" s="17"/>
      <c r="U1015" s="17">
        <v>150000</v>
      </c>
      <c r="V1015" s="17">
        <f t="shared" si="111"/>
        <v>0</v>
      </c>
      <c r="W1015" s="17">
        <f>1152</f>
        <v>1152</v>
      </c>
    </row>
    <row r="1016" spans="1:23" ht="75">
      <c r="A1016" s="134"/>
      <c r="B1016" s="134"/>
      <c r="C1016" s="134"/>
      <c r="D1016" s="146"/>
      <c r="E1016" s="16" t="s">
        <v>672</v>
      </c>
      <c r="F1016" s="84">
        <f t="shared" si="114"/>
        <v>952000</v>
      </c>
      <c r="G1016" s="83">
        <v>1</v>
      </c>
      <c r="H1016" s="84">
        <f t="shared" si="113"/>
        <v>952000</v>
      </c>
      <c r="I1016" s="24">
        <v>952000</v>
      </c>
      <c r="J1016" s="17"/>
      <c r="K1016" s="17"/>
      <c r="L1016" s="17">
        <v>10000</v>
      </c>
      <c r="M1016" s="17">
        <v>442000</v>
      </c>
      <c r="N1016" s="17">
        <f>300000-752000</f>
        <v>-452000</v>
      </c>
      <c r="O1016" s="17">
        <v>200000</v>
      </c>
      <c r="P1016" s="17">
        <v>752000</v>
      </c>
      <c r="Q1016" s="17"/>
      <c r="R1016" s="17"/>
      <c r="S1016" s="17"/>
      <c r="T1016" s="17"/>
      <c r="U1016" s="17"/>
      <c r="V1016" s="17">
        <f t="shared" si="111"/>
        <v>0</v>
      </c>
      <c r="W1016" s="17"/>
    </row>
    <row r="1017" spans="1:23" ht="102.75" customHeight="1">
      <c r="A1017" s="134"/>
      <c r="B1017" s="134"/>
      <c r="C1017" s="134"/>
      <c r="D1017" s="146"/>
      <c r="E1017" s="16" t="s">
        <v>434</v>
      </c>
      <c r="F1017" s="84">
        <f t="shared" si="114"/>
        <v>1300000</v>
      </c>
      <c r="G1017" s="83">
        <v>1</v>
      </c>
      <c r="H1017" s="84">
        <f t="shared" si="113"/>
        <v>1300000</v>
      </c>
      <c r="I1017" s="24">
        <v>1300000</v>
      </c>
      <c r="J1017" s="17"/>
      <c r="K1017" s="17"/>
      <c r="L1017" s="17">
        <v>15000</v>
      </c>
      <c r="M1017" s="17">
        <v>575000</v>
      </c>
      <c r="N1017" s="17">
        <v>-498000</v>
      </c>
      <c r="O1017" s="17">
        <v>17000</v>
      </c>
      <c r="P1017" s="17">
        <f>18000+498000</f>
        <v>516000</v>
      </c>
      <c r="Q1017" s="17"/>
      <c r="R1017" s="17"/>
      <c r="S1017" s="17">
        <v>250000</v>
      </c>
      <c r="T1017" s="17">
        <v>250000</v>
      </c>
      <c r="U1017" s="17">
        <v>175000</v>
      </c>
      <c r="V1017" s="17">
        <f t="shared" si="111"/>
        <v>0</v>
      </c>
      <c r="W1017" s="17"/>
    </row>
    <row r="1018" spans="1:23" ht="37.5">
      <c r="A1018" s="134"/>
      <c r="B1018" s="134"/>
      <c r="C1018" s="134"/>
      <c r="D1018" s="146"/>
      <c r="E1018" s="20" t="s">
        <v>668</v>
      </c>
      <c r="F1018" s="84">
        <f t="shared" si="114"/>
        <v>17750000</v>
      </c>
      <c r="G1018" s="83">
        <v>1</v>
      </c>
      <c r="H1018" s="84">
        <f t="shared" si="113"/>
        <v>17750000</v>
      </c>
      <c r="I1018" s="21">
        <f>20000000-2250000</f>
        <v>17750000</v>
      </c>
      <c r="J1018" s="17"/>
      <c r="K1018" s="17"/>
      <c r="L1018" s="17">
        <v>250000</v>
      </c>
      <c r="M1018" s="17">
        <f>2255000-2000000</f>
        <v>255000</v>
      </c>
      <c r="N1018" s="17"/>
      <c r="O1018" s="17">
        <f>250000-213000</f>
        <v>37000</v>
      </c>
      <c r="P1018" s="17">
        <f>2000000+213000</f>
        <v>2213000</v>
      </c>
      <c r="Q1018" s="17"/>
      <c r="R1018" s="17"/>
      <c r="S1018" s="17">
        <v>3245000</v>
      </c>
      <c r="T1018" s="17">
        <v>5000000</v>
      </c>
      <c r="U1018" s="17">
        <f>9000000-2250000</f>
        <v>6750000</v>
      </c>
      <c r="V1018" s="17">
        <f t="shared" si="111"/>
        <v>0</v>
      </c>
      <c r="W1018" s="17">
        <f>185850.94+98235+30372+8208</f>
        <v>322665.94</v>
      </c>
    </row>
    <row r="1019" spans="1:23" ht="81.75" customHeight="1">
      <c r="A1019" s="134"/>
      <c r="B1019" s="134"/>
      <c r="C1019" s="134"/>
      <c r="D1019" s="146"/>
      <c r="E1019" s="20" t="s">
        <v>525</v>
      </c>
      <c r="F1019" s="84">
        <f t="shared" si="114"/>
        <v>1000000</v>
      </c>
      <c r="G1019" s="83">
        <v>1</v>
      </c>
      <c r="H1019" s="84">
        <f t="shared" si="113"/>
        <v>1000000</v>
      </c>
      <c r="I1019" s="21">
        <v>1000000</v>
      </c>
      <c r="J1019" s="17"/>
      <c r="K1019" s="17"/>
      <c r="L1019" s="17">
        <v>100000</v>
      </c>
      <c r="M1019" s="17">
        <f>600000-700000</f>
        <v>-100000</v>
      </c>
      <c r="N1019" s="17"/>
      <c r="O1019" s="17"/>
      <c r="P1019" s="17">
        <v>700000</v>
      </c>
      <c r="Q1019" s="17"/>
      <c r="R1019" s="17"/>
      <c r="S1019" s="17"/>
      <c r="T1019" s="17">
        <v>200000</v>
      </c>
      <c r="U1019" s="17">
        <v>100000</v>
      </c>
      <c r="V1019" s="17">
        <f t="shared" si="111"/>
        <v>0</v>
      </c>
      <c r="W1019" s="17"/>
    </row>
    <row r="1020" spans="1:23" ht="56.25">
      <c r="A1020" s="134"/>
      <c r="B1020" s="134"/>
      <c r="C1020" s="134"/>
      <c r="D1020" s="146"/>
      <c r="E1020" s="20" t="s">
        <v>526</v>
      </c>
      <c r="F1020" s="84">
        <f t="shared" si="114"/>
        <v>500000</v>
      </c>
      <c r="G1020" s="83">
        <v>1</v>
      </c>
      <c r="H1020" s="84">
        <f t="shared" si="113"/>
        <v>500000</v>
      </c>
      <c r="I1020" s="21">
        <v>500000</v>
      </c>
      <c r="J1020" s="17"/>
      <c r="K1020" s="17"/>
      <c r="L1020" s="17"/>
      <c r="M1020" s="17">
        <v>235235</v>
      </c>
      <c r="N1020" s="17"/>
      <c r="O1020" s="17">
        <v>-58000</v>
      </c>
      <c r="P1020" s="17"/>
      <c r="Q1020" s="17">
        <v>58000</v>
      </c>
      <c r="R1020" s="17">
        <v>54765</v>
      </c>
      <c r="S1020" s="17">
        <v>70000</v>
      </c>
      <c r="T1020" s="17">
        <v>70000</v>
      </c>
      <c r="U1020" s="17">
        <v>70000</v>
      </c>
      <c r="V1020" s="17">
        <f t="shared" si="111"/>
        <v>0</v>
      </c>
      <c r="W1020" s="17"/>
    </row>
    <row r="1021" spans="1:23" ht="73.5" customHeight="1">
      <c r="A1021" s="134"/>
      <c r="B1021" s="134"/>
      <c r="C1021" s="134"/>
      <c r="D1021" s="146"/>
      <c r="E1021" s="20" t="s">
        <v>486</v>
      </c>
      <c r="F1021" s="84">
        <f t="shared" si="114"/>
        <v>700000</v>
      </c>
      <c r="G1021" s="83">
        <v>1</v>
      </c>
      <c r="H1021" s="84">
        <f t="shared" si="113"/>
        <v>700000</v>
      </c>
      <c r="I1021" s="21">
        <v>700000</v>
      </c>
      <c r="J1021" s="17"/>
      <c r="K1021" s="17"/>
      <c r="L1021" s="17"/>
      <c r="M1021" s="17">
        <v>245000</v>
      </c>
      <c r="N1021" s="17">
        <v>210000</v>
      </c>
      <c r="O1021" s="17">
        <v>-400000</v>
      </c>
      <c r="P1021" s="17"/>
      <c r="Q1021" s="17">
        <v>400000</v>
      </c>
      <c r="R1021" s="17"/>
      <c r="S1021" s="17">
        <v>245000</v>
      </c>
      <c r="T1021" s="17"/>
      <c r="U1021" s="17"/>
      <c r="V1021" s="17">
        <f t="shared" si="111"/>
        <v>0</v>
      </c>
      <c r="W1021" s="17"/>
    </row>
    <row r="1022" spans="1:23" ht="56.25">
      <c r="A1022" s="134"/>
      <c r="B1022" s="134"/>
      <c r="C1022" s="134"/>
      <c r="D1022" s="146"/>
      <c r="E1022" s="20" t="s">
        <v>1075</v>
      </c>
      <c r="F1022" s="84">
        <f t="shared" si="114"/>
        <v>1000000</v>
      </c>
      <c r="G1022" s="83">
        <v>1</v>
      </c>
      <c r="H1022" s="84">
        <f t="shared" si="113"/>
        <v>1000000</v>
      </c>
      <c r="I1022" s="21">
        <v>1000000</v>
      </c>
      <c r="J1022" s="17"/>
      <c r="K1022" s="17"/>
      <c r="L1022" s="17"/>
      <c r="M1022" s="17">
        <v>700000</v>
      </c>
      <c r="N1022" s="17"/>
      <c r="O1022" s="17">
        <v>-400000</v>
      </c>
      <c r="P1022" s="17">
        <v>400000</v>
      </c>
      <c r="Q1022" s="17"/>
      <c r="R1022" s="17"/>
      <c r="S1022" s="17"/>
      <c r="T1022" s="17">
        <v>200000</v>
      </c>
      <c r="U1022" s="17">
        <v>100000</v>
      </c>
      <c r="V1022" s="17">
        <f t="shared" si="111"/>
        <v>0</v>
      </c>
      <c r="W1022" s="17">
        <f>100000+36536</f>
        <v>136536</v>
      </c>
    </row>
    <row r="1023" spans="1:23" ht="56.25">
      <c r="A1023" s="134"/>
      <c r="B1023" s="134"/>
      <c r="C1023" s="134"/>
      <c r="D1023" s="146"/>
      <c r="E1023" s="20" t="s">
        <v>435</v>
      </c>
      <c r="F1023" s="84">
        <f t="shared" si="114"/>
        <v>473550</v>
      </c>
      <c r="G1023" s="83">
        <v>1</v>
      </c>
      <c r="H1023" s="84">
        <f t="shared" si="113"/>
        <v>473550</v>
      </c>
      <c r="I1023" s="21">
        <v>473550</v>
      </c>
      <c r="J1023" s="17"/>
      <c r="K1023" s="17"/>
      <c r="L1023" s="17"/>
      <c r="M1023" s="17">
        <v>253550</v>
      </c>
      <c r="N1023" s="17"/>
      <c r="O1023" s="17"/>
      <c r="P1023" s="17"/>
      <c r="Q1023" s="17"/>
      <c r="R1023" s="17"/>
      <c r="S1023" s="17">
        <v>110000</v>
      </c>
      <c r="T1023" s="17">
        <v>110000</v>
      </c>
      <c r="U1023" s="17"/>
      <c r="V1023" s="17">
        <f t="shared" si="111"/>
        <v>0</v>
      </c>
      <c r="W1023" s="17"/>
    </row>
    <row r="1024" spans="1:23" ht="54">
      <c r="A1024" s="134"/>
      <c r="B1024" s="133"/>
      <c r="C1024" s="134"/>
      <c r="D1024" s="146"/>
      <c r="E1024" s="20" t="s">
        <v>512</v>
      </c>
      <c r="F1024" s="84">
        <f t="shared" si="114"/>
        <v>200000</v>
      </c>
      <c r="G1024" s="83">
        <v>1</v>
      </c>
      <c r="H1024" s="84">
        <f t="shared" si="113"/>
        <v>200000</v>
      </c>
      <c r="I1024" s="21">
        <f>968800-768800</f>
        <v>200000</v>
      </c>
      <c r="J1024" s="17"/>
      <c r="K1024" s="17"/>
      <c r="L1024" s="17"/>
      <c r="M1024" s="17">
        <v>140000</v>
      </c>
      <c r="N1024" s="17">
        <v>60000</v>
      </c>
      <c r="O1024" s="17"/>
      <c r="P1024" s="17"/>
      <c r="Q1024" s="17"/>
      <c r="R1024" s="17"/>
      <c r="S1024" s="17"/>
      <c r="T1024" s="17"/>
      <c r="U1024" s="17"/>
      <c r="V1024" s="17">
        <f t="shared" si="111"/>
        <v>0</v>
      </c>
      <c r="W1024" s="17"/>
    </row>
    <row r="1025" spans="1:23" ht="18" customHeight="1">
      <c r="A1025" s="132" t="s">
        <v>939</v>
      </c>
      <c r="B1025" s="132" t="s">
        <v>1033</v>
      </c>
      <c r="C1025" s="132" t="s">
        <v>682</v>
      </c>
      <c r="D1025" s="145" t="s">
        <v>1032</v>
      </c>
      <c r="E1025" s="39"/>
      <c r="F1025" s="39"/>
      <c r="G1025" s="39"/>
      <c r="H1025" s="39"/>
      <c r="I1025" s="19">
        <f>SUM(I1026:I1027)</f>
        <v>1180000</v>
      </c>
      <c r="J1025" s="19">
        <f aca="true" t="shared" si="115" ref="J1025:W1025">SUM(J1026:J1027)</f>
        <v>0</v>
      </c>
      <c r="K1025" s="19">
        <f t="shared" si="115"/>
        <v>0</v>
      </c>
      <c r="L1025" s="19">
        <f t="shared" si="115"/>
        <v>0</v>
      </c>
      <c r="M1025" s="19">
        <f t="shared" si="115"/>
        <v>556000</v>
      </c>
      <c r="N1025" s="19">
        <f t="shared" si="115"/>
        <v>0</v>
      </c>
      <c r="O1025" s="19">
        <f t="shared" si="115"/>
        <v>0</v>
      </c>
      <c r="P1025" s="19">
        <f t="shared" si="115"/>
        <v>0</v>
      </c>
      <c r="Q1025" s="19">
        <f t="shared" si="115"/>
        <v>24000</v>
      </c>
      <c r="R1025" s="19">
        <f t="shared" si="115"/>
        <v>0</v>
      </c>
      <c r="S1025" s="19">
        <f t="shared" si="115"/>
        <v>0</v>
      </c>
      <c r="T1025" s="19">
        <f t="shared" si="115"/>
        <v>300000</v>
      </c>
      <c r="U1025" s="19">
        <f t="shared" si="115"/>
        <v>300000</v>
      </c>
      <c r="V1025" s="19">
        <f t="shared" si="115"/>
        <v>0</v>
      </c>
      <c r="W1025" s="19">
        <f t="shared" si="115"/>
        <v>493306.4</v>
      </c>
    </row>
    <row r="1026" spans="1:23" ht="77.25" customHeight="1">
      <c r="A1026" s="134"/>
      <c r="B1026" s="134"/>
      <c r="C1026" s="134"/>
      <c r="D1026" s="146"/>
      <c r="E1026" s="20" t="s">
        <v>697</v>
      </c>
      <c r="F1026" s="84">
        <f>I1026</f>
        <v>80000</v>
      </c>
      <c r="G1026" s="83">
        <v>1</v>
      </c>
      <c r="H1026" s="84">
        <f t="shared" si="113"/>
        <v>80000</v>
      </c>
      <c r="I1026" s="21">
        <v>80000</v>
      </c>
      <c r="J1026" s="17"/>
      <c r="K1026" s="17"/>
      <c r="L1026" s="17"/>
      <c r="M1026" s="17">
        <v>56000</v>
      </c>
      <c r="N1026" s="17"/>
      <c r="O1026" s="17"/>
      <c r="P1026" s="17"/>
      <c r="Q1026" s="17">
        <v>24000</v>
      </c>
      <c r="R1026" s="17"/>
      <c r="S1026" s="17"/>
      <c r="T1026" s="17"/>
      <c r="U1026" s="17"/>
      <c r="V1026" s="17">
        <f t="shared" si="111"/>
        <v>0</v>
      </c>
      <c r="W1026" s="17"/>
    </row>
    <row r="1027" spans="1:23" ht="115.5" customHeight="1">
      <c r="A1027" s="133"/>
      <c r="B1027" s="133"/>
      <c r="C1027" s="133"/>
      <c r="D1027" s="135"/>
      <c r="E1027" s="20" t="s">
        <v>698</v>
      </c>
      <c r="F1027" s="84">
        <f>I1027</f>
        <v>1100000</v>
      </c>
      <c r="G1027" s="83">
        <v>1</v>
      </c>
      <c r="H1027" s="84">
        <f t="shared" si="113"/>
        <v>1100000</v>
      </c>
      <c r="I1027" s="21">
        <v>1100000</v>
      </c>
      <c r="J1027" s="17"/>
      <c r="K1027" s="17"/>
      <c r="L1027" s="17"/>
      <c r="M1027" s="17">
        <v>500000</v>
      </c>
      <c r="N1027" s="17"/>
      <c r="O1027" s="17"/>
      <c r="P1027" s="17"/>
      <c r="Q1027" s="17"/>
      <c r="R1027" s="17"/>
      <c r="S1027" s="17"/>
      <c r="T1027" s="17">
        <v>300000</v>
      </c>
      <c r="U1027" s="17">
        <v>300000</v>
      </c>
      <c r="V1027" s="17">
        <f t="shared" si="111"/>
        <v>0</v>
      </c>
      <c r="W1027" s="17">
        <f>305999.4+4583+182724</f>
        <v>493306.4</v>
      </c>
    </row>
    <row r="1028" spans="1:23" ht="18">
      <c r="A1028" s="132" t="s">
        <v>942</v>
      </c>
      <c r="B1028" s="132" t="s">
        <v>941</v>
      </c>
      <c r="C1028" s="132" t="s">
        <v>430</v>
      </c>
      <c r="D1028" s="145" t="s">
        <v>940</v>
      </c>
      <c r="E1028" s="62"/>
      <c r="F1028" s="62"/>
      <c r="G1028" s="62"/>
      <c r="H1028" s="62"/>
      <c r="I1028" s="35">
        <f>SUM(I1029:I1029)</f>
        <v>100000</v>
      </c>
      <c r="J1028" s="35">
        <f aca="true" t="shared" si="116" ref="J1028:W1028">SUM(J1029:J1029)</f>
        <v>0</v>
      </c>
      <c r="K1028" s="35">
        <f t="shared" si="116"/>
        <v>0</v>
      </c>
      <c r="L1028" s="35">
        <f t="shared" si="116"/>
        <v>0</v>
      </c>
      <c r="M1028" s="35">
        <f t="shared" si="116"/>
        <v>100000</v>
      </c>
      <c r="N1028" s="35">
        <f t="shared" si="116"/>
        <v>0</v>
      </c>
      <c r="O1028" s="35">
        <f t="shared" si="116"/>
        <v>0</v>
      </c>
      <c r="P1028" s="35">
        <f t="shared" si="116"/>
        <v>0</v>
      </c>
      <c r="Q1028" s="35">
        <f t="shared" si="116"/>
        <v>0</v>
      </c>
      <c r="R1028" s="35">
        <f t="shared" si="116"/>
        <v>0</v>
      </c>
      <c r="S1028" s="35">
        <f t="shared" si="116"/>
        <v>0</v>
      </c>
      <c r="T1028" s="35">
        <f t="shared" si="116"/>
        <v>0</v>
      </c>
      <c r="U1028" s="35">
        <f t="shared" si="116"/>
        <v>0</v>
      </c>
      <c r="V1028" s="35">
        <f t="shared" si="116"/>
        <v>0</v>
      </c>
      <c r="W1028" s="35">
        <f t="shared" si="116"/>
        <v>0</v>
      </c>
    </row>
    <row r="1029" spans="1:23" ht="36">
      <c r="A1029" s="134"/>
      <c r="B1029" s="133"/>
      <c r="C1029" s="134"/>
      <c r="D1029" s="146"/>
      <c r="E1029" s="62" t="s">
        <v>531</v>
      </c>
      <c r="F1029" s="84">
        <f>I1029</f>
        <v>100000</v>
      </c>
      <c r="G1029" s="83">
        <v>1</v>
      </c>
      <c r="H1029" s="84">
        <f t="shared" si="113"/>
        <v>100000</v>
      </c>
      <c r="I1029" s="30">
        <v>100000</v>
      </c>
      <c r="J1029" s="17"/>
      <c r="K1029" s="17"/>
      <c r="L1029" s="17"/>
      <c r="M1029" s="17">
        <v>100000</v>
      </c>
      <c r="N1029" s="17"/>
      <c r="O1029" s="17"/>
      <c r="P1029" s="17"/>
      <c r="Q1029" s="17"/>
      <c r="R1029" s="17"/>
      <c r="S1029" s="17"/>
      <c r="T1029" s="17"/>
      <c r="U1029" s="17"/>
      <c r="V1029" s="17">
        <f t="shared" si="111"/>
        <v>0</v>
      </c>
      <c r="W1029" s="17"/>
    </row>
    <row r="1030" spans="1:23" ht="18" customHeight="1">
      <c r="A1030" s="132" t="s">
        <v>943</v>
      </c>
      <c r="B1030" s="132" t="s">
        <v>711</v>
      </c>
      <c r="C1030" s="132" t="s">
        <v>854</v>
      </c>
      <c r="D1030" s="145" t="s">
        <v>40</v>
      </c>
      <c r="E1030" s="39"/>
      <c r="F1030" s="39"/>
      <c r="G1030" s="39"/>
      <c r="H1030" s="39"/>
      <c r="I1030" s="19">
        <f>SUM(I1031:I1064)</f>
        <v>141402000</v>
      </c>
      <c r="J1030" s="19">
        <f aca="true" t="shared" si="117" ref="J1030:W1030">SUM(J1031:J1064)</f>
        <v>0</v>
      </c>
      <c r="K1030" s="19">
        <f t="shared" si="117"/>
        <v>1600000</v>
      </c>
      <c r="L1030" s="19">
        <f t="shared" si="117"/>
        <v>29419871.54</v>
      </c>
      <c r="M1030" s="19">
        <f t="shared" si="117"/>
        <v>15591625</v>
      </c>
      <c r="N1030" s="19">
        <f t="shared" si="117"/>
        <v>6529200</v>
      </c>
      <c r="O1030" s="19">
        <f t="shared" si="117"/>
        <v>3392528.46</v>
      </c>
      <c r="P1030" s="19">
        <f t="shared" si="117"/>
        <v>12764595</v>
      </c>
      <c r="Q1030" s="19">
        <f t="shared" si="117"/>
        <v>19079605</v>
      </c>
      <c r="R1030" s="19">
        <f t="shared" si="117"/>
        <v>10939435</v>
      </c>
      <c r="S1030" s="19">
        <f t="shared" si="117"/>
        <v>11272700</v>
      </c>
      <c r="T1030" s="19">
        <f t="shared" si="117"/>
        <v>16342240</v>
      </c>
      <c r="U1030" s="19">
        <f t="shared" si="117"/>
        <v>14470200</v>
      </c>
      <c r="V1030" s="19">
        <f t="shared" si="117"/>
        <v>-9.313225746154785E-10</v>
      </c>
      <c r="W1030" s="19">
        <f t="shared" si="117"/>
        <v>54001465.25</v>
      </c>
    </row>
    <row r="1031" spans="1:23" ht="72">
      <c r="A1031" s="134"/>
      <c r="B1031" s="134"/>
      <c r="C1031" s="134"/>
      <c r="D1031" s="146"/>
      <c r="E1031" s="39" t="s">
        <v>1068</v>
      </c>
      <c r="F1031" s="39"/>
      <c r="G1031" s="127"/>
      <c r="H1031" s="39"/>
      <c r="I1031" s="17">
        <v>5000</v>
      </c>
      <c r="J1031" s="17"/>
      <c r="K1031" s="17"/>
      <c r="L1031" s="17"/>
      <c r="M1031" s="17"/>
      <c r="N1031" s="17"/>
      <c r="O1031" s="17"/>
      <c r="P1031" s="17"/>
      <c r="Q1031" s="17">
        <v>5000</v>
      </c>
      <c r="R1031" s="17"/>
      <c r="S1031" s="17"/>
      <c r="T1031" s="17"/>
      <c r="U1031" s="17"/>
      <c r="V1031" s="17">
        <f>I1031-J1031-K1031-L1031-M1031-N1031-O1031-P1031-Q1031-R1031-S1031-T1031-U1031</f>
        <v>0</v>
      </c>
      <c r="W1031" s="17"/>
    </row>
    <row r="1032" spans="1:23" ht="54">
      <c r="A1032" s="134"/>
      <c r="B1032" s="134"/>
      <c r="C1032" s="134"/>
      <c r="D1032" s="146"/>
      <c r="E1032" s="39" t="s">
        <v>465</v>
      </c>
      <c r="F1032" s="84">
        <f>I1032</f>
        <v>900000</v>
      </c>
      <c r="G1032" s="83">
        <v>1</v>
      </c>
      <c r="H1032" s="84">
        <f t="shared" si="113"/>
        <v>900000</v>
      </c>
      <c r="I1032" s="17">
        <v>900000</v>
      </c>
      <c r="J1032" s="17"/>
      <c r="K1032" s="17"/>
      <c r="L1032" s="17"/>
      <c r="M1032" s="17"/>
      <c r="N1032" s="17"/>
      <c r="O1032" s="17"/>
      <c r="P1032" s="17"/>
      <c r="Q1032" s="17">
        <v>50000</v>
      </c>
      <c r="R1032" s="17"/>
      <c r="S1032" s="17">
        <v>400000</v>
      </c>
      <c r="T1032" s="17">
        <v>450000</v>
      </c>
      <c r="U1032" s="17"/>
      <c r="V1032" s="17">
        <f t="shared" si="111"/>
        <v>0</v>
      </c>
      <c r="W1032" s="17"/>
    </row>
    <row r="1033" spans="1:23" ht="54" hidden="1">
      <c r="A1033" s="134"/>
      <c r="B1033" s="134"/>
      <c r="C1033" s="134"/>
      <c r="D1033" s="146"/>
      <c r="E1033" s="39" t="s">
        <v>914</v>
      </c>
      <c r="F1033" s="84"/>
      <c r="G1033" s="83"/>
      <c r="H1033" s="84"/>
      <c r="I1033" s="17">
        <f>1500-1500</f>
        <v>0</v>
      </c>
      <c r="J1033" s="17"/>
      <c r="K1033" s="17"/>
      <c r="L1033" s="17"/>
      <c r="M1033" s="17"/>
      <c r="N1033" s="17"/>
      <c r="O1033" s="17"/>
      <c r="P1033" s="17"/>
      <c r="Q1033" s="17">
        <f>1500-1500</f>
        <v>0</v>
      </c>
      <c r="R1033" s="17"/>
      <c r="S1033" s="17"/>
      <c r="T1033" s="17"/>
      <c r="U1033" s="17"/>
      <c r="V1033" s="17">
        <f>I1033-J1033-K1033-L1033-M1033-N1033-O1033-P1033-Q1033-R1033-S1033-T1033-U1033</f>
        <v>0</v>
      </c>
      <c r="W1033" s="17"/>
    </row>
    <row r="1034" spans="1:23" ht="54">
      <c r="A1034" s="134"/>
      <c r="B1034" s="134"/>
      <c r="C1034" s="134"/>
      <c r="D1034" s="146"/>
      <c r="E1034" s="39" t="s">
        <v>712</v>
      </c>
      <c r="F1034" s="84">
        <f aca="true" t="shared" si="118" ref="F1034:F1064">I1034</f>
        <v>11000000</v>
      </c>
      <c r="G1034" s="83">
        <v>1</v>
      </c>
      <c r="H1034" s="84">
        <f t="shared" si="113"/>
        <v>11000000</v>
      </c>
      <c r="I1034" s="17">
        <v>11000000</v>
      </c>
      <c r="J1034" s="17"/>
      <c r="K1034" s="17"/>
      <c r="L1034" s="17"/>
      <c r="M1034" s="17"/>
      <c r="N1034" s="17">
        <v>200000</v>
      </c>
      <c r="O1034" s="17"/>
      <c r="P1034" s="17">
        <f>200000-200000</f>
        <v>0</v>
      </c>
      <c r="Q1034" s="17"/>
      <c r="R1034" s="17">
        <v>5400000</v>
      </c>
      <c r="S1034" s="17"/>
      <c r="T1034" s="17">
        <v>2700000</v>
      </c>
      <c r="U1034" s="17">
        <v>2700000</v>
      </c>
      <c r="V1034" s="17">
        <f t="shared" si="111"/>
        <v>0</v>
      </c>
      <c r="W1034" s="17"/>
    </row>
    <row r="1035" spans="1:23" ht="36" hidden="1">
      <c r="A1035" s="134"/>
      <c r="B1035" s="134"/>
      <c r="C1035" s="134"/>
      <c r="D1035" s="146"/>
      <c r="E1035" s="39" t="s">
        <v>774</v>
      </c>
      <c r="F1035" s="84">
        <f t="shared" si="118"/>
        <v>0</v>
      </c>
      <c r="G1035" s="83">
        <v>1</v>
      </c>
      <c r="H1035" s="84">
        <f t="shared" si="113"/>
        <v>0</v>
      </c>
      <c r="I1035" s="17">
        <f>500000-500000</f>
        <v>0</v>
      </c>
      <c r="J1035" s="17"/>
      <c r="K1035" s="17"/>
      <c r="L1035" s="17"/>
      <c r="M1035" s="17"/>
      <c r="N1035" s="17"/>
      <c r="O1035" s="17"/>
      <c r="P1035" s="17"/>
      <c r="Q1035" s="17">
        <f>250000-250000</f>
        <v>0</v>
      </c>
      <c r="R1035" s="17">
        <f>250000-250000</f>
        <v>0</v>
      </c>
      <c r="S1035" s="17"/>
      <c r="T1035" s="17"/>
      <c r="U1035" s="17"/>
      <c r="V1035" s="17">
        <f>I1035-J1035-K1035-L1035-M1035-N1035-O1035-P1035-Q1035-R1035-S1035-T1035-U1035</f>
        <v>0</v>
      </c>
      <c r="W1035" s="17"/>
    </row>
    <row r="1036" spans="1:23" ht="54">
      <c r="A1036" s="134"/>
      <c r="B1036" s="134"/>
      <c r="C1036" s="134"/>
      <c r="D1036" s="146"/>
      <c r="E1036" s="39" t="s">
        <v>334</v>
      </c>
      <c r="F1036" s="84"/>
      <c r="G1036" s="83"/>
      <c r="H1036" s="84"/>
      <c r="I1036" s="17">
        <v>500000</v>
      </c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>
        <v>500000</v>
      </c>
      <c r="U1036" s="17"/>
      <c r="V1036" s="17">
        <f>I1036-J1036-K1036-L1036-M1036-N1036-O1036-P1036-Q1036-R1036-S1036-T1036-U1036</f>
        <v>0</v>
      </c>
      <c r="W1036" s="17"/>
    </row>
    <row r="1037" spans="1:23" ht="54">
      <c r="A1037" s="134"/>
      <c r="B1037" s="134"/>
      <c r="C1037" s="134"/>
      <c r="D1037" s="146"/>
      <c r="E1037" s="39" t="s">
        <v>773</v>
      </c>
      <c r="F1037" s="84">
        <f t="shared" si="118"/>
        <v>1000000</v>
      </c>
      <c r="G1037" s="83">
        <v>1</v>
      </c>
      <c r="H1037" s="84">
        <f t="shared" si="113"/>
        <v>1000000</v>
      </c>
      <c r="I1037" s="17">
        <v>1000000</v>
      </c>
      <c r="J1037" s="17"/>
      <c r="K1037" s="17"/>
      <c r="L1037" s="17"/>
      <c r="M1037" s="17"/>
      <c r="N1037" s="17"/>
      <c r="O1037" s="17"/>
      <c r="P1037" s="17"/>
      <c r="Q1037" s="17"/>
      <c r="R1037" s="17">
        <v>500000</v>
      </c>
      <c r="S1037" s="17"/>
      <c r="T1037" s="17"/>
      <c r="U1037" s="17">
        <v>500000</v>
      </c>
      <c r="V1037" s="17">
        <f t="shared" si="111"/>
        <v>0</v>
      </c>
      <c r="W1037" s="17"/>
    </row>
    <row r="1038" spans="1:23" ht="36">
      <c r="A1038" s="134"/>
      <c r="B1038" s="134"/>
      <c r="C1038" s="134"/>
      <c r="D1038" s="146"/>
      <c r="E1038" s="39" t="s">
        <v>775</v>
      </c>
      <c r="F1038" s="84">
        <f t="shared" si="118"/>
        <v>500000</v>
      </c>
      <c r="G1038" s="83">
        <v>1</v>
      </c>
      <c r="H1038" s="84">
        <f t="shared" si="113"/>
        <v>500000</v>
      </c>
      <c r="I1038" s="17">
        <v>500000</v>
      </c>
      <c r="J1038" s="17"/>
      <c r="K1038" s="17"/>
      <c r="L1038" s="17"/>
      <c r="M1038" s="17"/>
      <c r="N1038" s="17">
        <v>22000</v>
      </c>
      <c r="O1038" s="17"/>
      <c r="P1038" s="17"/>
      <c r="Q1038" s="17"/>
      <c r="R1038" s="17"/>
      <c r="S1038" s="17"/>
      <c r="T1038" s="17">
        <f>250000-22000</f>
        <v>228000</v>
      </c>
      <c r="U1038" s="17">
        <v>250000</v>
      </c>
      <c r="V1038" s="17">
        <f t="shared" si="111"/>
        <v>0</v>
      </c>
      <c r="W1038" s="17">
        <v>20944</v>
      </c>
    </row>
    <row r="1039" spans="1:23" ht="54">
      <c r="A1039" s="134"/>
      <c r="B1039" s="134"/>
      <c r="C1039" s="134"/>
      <c r="D1039" s="146"/>
      <c r="E1039" s="39" t="s">
        <v>777</v>
      </c>
      <c r="F1039" s="84">
        <f t="shared" si="118"/>
        <v>8750000</v>
      </c>
      <c r="G1039" s="83">
        <v>1</v>
      </c>
      <c r="H1039" s="84">
        <f t="shared" si="113"/>
        <v>8750000</v>
      </c>
      <c r="I1039" s="17">
        <v>8750000</v>
      </c>
      <c r="J1039" s="17"/>
      <c r="K1039" s="17"/>
      <c r="L1039" s="17">
        <f>4375000-2875000</f>
        <v>1500000</v>
      </c>
      <c r="M1039" s="17"/>
      <c r="N1039" s="17"/>
      <c r="O1039" s="17">
        <v>2700000</v>
      </c>
      <c r="P1039" s="17">
        <f>2000000+2091666.54-2700000</f>
        <v>1391666.54</v>
      </c>
      <c r="Q1039" s="17">
        <f>2375000+783333.46</f>
        <v>3158333.46</v>
      </c>
      <c r="R1039" s="17"/>
      <c r="S1039" s="17"/>
      <c r="T1039" s="17"/>
      <c r="U1039" s="17"/>
      <c r="V1039" s="17">
        <f t="shared" si="111"/>
        <v>0</v>
      </c>
      <c r="W1039" s="17">
        <f>1500000+2300000+351862.03</f>
        <v>4151862.0300000003</v>
      </c>
    </row>
    <row r="1040" spans="1:23" ht="77.25" customHeight="1">
      <c r="A1040" s="134"/>
      <c r="B1040" s="134"/>
      <c r="C1040" s="134"/>
      <c r="D1040" s="146"/>
      <c r="E1040" s="39" t="s">
        <v>8</v>
      </c>
      <c r="F1040" s="84">
        <f t="shared" si="118"/>
        <v>8600000</v>
      </c>
      <c r="G1040" s="83">
        <v>1</v>
      </c>
      <c r="H1040" s="84">
        <f t="shared" si="113"/>
        <v>8600000</v>
      </c>
      <c r="I1040" s="17">
        <v>8600000</v>
      </c>
      <c r="J1040" s="17"/>
      <c r="K1040" s="17"/>
      <c r="L1040" s="17">
        <f>4300000-1000000</f>
        <v>3300000</v>
      </c>
      <c r="M1040" s="17"/>
      <c r="N1040" s="17">
        <v>3152000</v>
      </c>
      <c r="O1040" s="17"/>
      <c r="P1040" s="17">
        <v>2000000</v>
      </c>
      <c r="Q1040" s="17">
        <f>2300000+1000000-3152000</f>
        <v>148000</v>
      </c>
      <c r="R1040" s="17"/>
      <c r="S1040" s="17"/>
      <c r="T1040" s="17"/>
      <c r="U1040" s="17"/>
      <c r="V1040" s="17">
        <f t="shared" si="111"/>
        <v>0</v>
      </c>
      <c r="W1040" s="17">
        <f>3300000+3111386.39+40091.81-1500000</f>
        <v>4951478.2</v>
      </c>
    </row>
    <row r="1041" spans="1:23" ht="54">
      <c r="A1041" s="134"/>
      <c r="B1041" s="134"/>
      <c r="C1041" s="134"/>
      <c r="D1041" s="146"/>
      <c r="E1041" s="39" t="s">
        <v>6</v>
      </c>
      <c r="F1041" s="84">
        <f t="shared" si="118"/>
        <v>5000000</v>
      </c>
      <c r="G1041" s="83">
        <v>1</v>
      </c>
      <c r="H1041" s="84">
        <f t="shared" si="113"/>
        <v>5000000</v>
      </c>
      <c r="I1041" s="17">
        <v>5000000</v>
      </c>
      <c r="J1041" s="17"/>
      <c r="K1041" s="17"/>
      <c r="L1041" s="17"/>
      <c r="M1041" s="17"/>
      <c r="N1041" s="17"/>
      <c r="O1041" s="17">
        <v>400000</v>
      </c>
      <c r="P1041" s="17">
        <f>350000-350000</f>
        <v>0</v>
      </c>
      <c r="Q1041" s="17">
        <f>350000-50000</f>
        <v>300000</v>
      </c>
      <c r="R1041" s="17"/>
      <c r="S1041" s="17">
        <v>2150000</v>
      </c>
      <c r="T1041" s="17">
        <v>2150000</v>
      </c>
      <c r="U1041" s="17"/>
      <c r="V1041" s="17">
        <f t="shared" si="111"/>
        <v>0</v>
      </c>
      <c r="W1041" s="17"/>
    </row>
    <row r="1042" spans="1:23" ht="42" customHeight="1">
      <c r="A1042" s="134"/>
      <c r="B1042" s="134"/>
      <c r="C1042" s="134"/>
      <c r="D1042" s="146"/>
      <c r="E1042" s="39" t="s">
        <v>903</v>
      </c>
      <c r="F1042" s="84">
        <f t="shared" si="118"/>
        <v>7700000</v>
      </c>
      <c r="G1042" s="83">
        <v>1</v>
      </c>
      <c r="H1042" s="84">
        <f t="shared" si="113"/>
        <v>7700000</v>
      </c>
      <c r="I1042" s="17">
        <v>7700000</v>
      </c>
      <c r="J1042" s="17"/>
      <c r="K1042" s="17"/>
      <c r="L1042" s="17"/>
      <c r="M1042" s="17"/>
      <c r="N1042" s="17"/>
      <c r="O1042" s="17">
        <v>45000</v>
      </c>
      <c r="P1042" s="17">
        <f>150000-45000</f>
        <v>105000</v>
      </c>
      <c r="Q1042" s="17"/>
      <c r="R1042" s="17">
        <v>3775000</v>
      </c>
      <c r="S1042" s="17"/>
      <c r="T1042" s="17">
        <v>714800</v>
      </c>
      <c r="U1042" s="17">
        <v>3060200</v>
      </c>
      <c r="V1042" s="17">
        <f t="shared" si="111"/>
        <v>0</v>
      </c>
      <c r="W1042" s="17">
        <v>43461.4</v>
      </c>
    </row>
    <row r="1043" spans="1:23" ht="36">
      <c r="A1043" s="134"/>
      <c r="B1043" s="134"/>
      <c r="C1043" s="134"/>
      <c r="D1043" s="146"/>
      <c r="E1043" s="39" t="s">
        <v>41</v>
      </c>
      <c r="F1043" s="84">
        <f t="shared" si="118"/>
        <v>1000000</v>
      </c>
      <c r="G1043" s="83">
        <v>1</v>
      </c>
      <c r="H1043" s="84">
        <f t="shared" si="113"/>
        <v>1000000</v>
      </c>
      <c r="I1043" s="17">
        <v>1000000</v>
      </c>
      <c r="J1043" s="17"/>
      <c r="K1043" s="17"/>
      <c r="L1043" s="17"/>
      <c r="M1043" s="17"/>
      <c r="N1043" s="17"/>
      <c r="O1043" s="17"/>
      <c r="P1043" s="17"/>
      <c r="Q1043" s="17"/>
      <c r="R1043" s="17">
        <v>300000</v>
      </c>
      <c r="S1043" s="17"/>
      <c r="T1043" s="17">
        <v>700000</v>
      </c>
      <c r="U1043" s="17"/>
      <c r="V1043" s="17">
        <f t="shared" si="111"/>
        <v>0</v>
      </c>
      <c r="W1043" s="17"/>
    </row>
    <row r="1044" spans="1:23" ht="43.5" customHeight="1">
      <c r="A1044" s="134"/>
      <c r="B1044" s="134"/>
      <c r="C1044" s="134"/>
      <c r="D1044" s="146"/>
      <c r="E1044" s="39" t="s">
        <v>814</v>
      </c>
      <c r="F1044" s="84">
        <f t="shared" si="118"/>
        <v>500000</v>
      </c>
      <c r="G1044" s="83">
        <v>1</v>
      </c>
      <c r="H1044" s="84">
        <f t="shared" si="113"/>
        <v>500000</v>
      </c>
      <c r="I1044" s="17">
        <v>500000</v>
      </c>
      <c r="J1044" s="17"/>
      <c r="K1044" s="17"/>
      <c r="L1044" s="17"/>
      <c r="M1044" s="17"/>
      <c r="N1044" s="17"/>
      <c r="O1044" s="17"/>
      <c r="P1044" s="17"/>
      <c r="Q1044" s="17"/>
      <c r="R1044" s="17">
        <v>250000</v>
      </c>
      <c r="S1044" s="17"/>
      <c r="T1044" s="17">
        <v>250000</v>
      </c>
      <c r="U1044" s="17"/>
      <c r="V1044" s="17">
        <f t="shared" si="111"/>
        <v>0</v>
      </c>
      <c r="W1044" s="17"/>
    </row>
    <row r="1045" spans="1:23" ht="42" customHeight="1">
      <c r="A1045" s="134"/>
      <c r="B1045" s="134"/>
      <c r="C1045" s="134"/>
      <c r="D1045" s="146"/>
      <c r="E1045" s="39" t="s">
        <v>815</v>
      </c>
      <c r="F1045" s="84">
        <f t="shared" si="118"/>
        <v>5000000</v>
      </c>
      <c r="G1045" s="83">
        <v>1</v>
      </c>
      <c r="H1045" s="84">
        <f t="shared" si="113"/>
        <v>5000000</v>
      </c>
      <c r="I1045" s="17">
        <v>5000000</v>
      </c>
      <c r="J1045" s="17"/>
      <c r="K1045" s="17"/>
      <c r="L1045" s="17"/>
      <c r="M1045" s="17">
        <f>1460000+1585125</f>
        <v>3045125</v>
      </c>
      <c r="N1045" s="17"/>
      <c r="O1045" s="17"/>
      <c r="P1045" s="17">
        <f>2500000-1460000</f>
        <v>1040000</v>
      </c>
      <c r="Q1045" s="17"/>
      <c r="R1045" s="17">
        <v>114435</v>
      </c>
      <c r="S1045" s="17"/>
      <c r="T1045" s="17">
        <f>2385565-1585125</f>
        <v>800440</v>
      </c>
      <c r="U1045" s="17"/>
      <c r="V1045" s="17">
        <f t="shared" si="111"/>
        <v>0</v>
      </c>
      <c r="W1045" s="17">
        <f>1460000+1581342.49</f>
        <v>3041342.49</v>
      </c>
    </row>
    <row r="1046" spans="1:23" ht="36">
      <c r="A1046" s="134"/>
      <c r="B1046" s="134"/>
      <c r="C1046" s="134"/>
      <c r="D1046" s="146"/>
      <c r="E1046" s="39" t="s">
        <v>7</v>
      </c>
      <c r="F1046" s="84">
        <f t="shared" si="118"/>
        <v>500000</v>
      </c>
      <c r="G1046" s="83">
        <v>1</v>
      </c>
      <c r="H1046" s="84">
        <f t="shared" si="113"/>
        <v>500000</v>
      </c>
      <c r="I1046" s="17">
        <v>500000</v>
      </c>
      <c r="J1046" s="17"/>
      <c r="K1046" s="17"/>
      <c r="L1046" s="17">
        <v>14500</v>
      </c>
      <c r="M1046" s="17"/>
      <c r="N1046" s="17"/>
      <c r="O1046" s="17"/>
      <c r="P1046" s="17"/>
      <c r="Q1046" s="17">
        <f>500000-14500</f>
        <v>485500</v>
      </c>
      <c r="R1046" s="17"/>
      <c r="S1046" s="17"/>
      <c r="T1046" s="17"/>
      <c r="U1046" s="17"/>
      <c r="V1046" s="17">
        <f t="shared" si="111"/>
        <v>0</v>
      </c>
      <c r="W1046" s="17">
        <v>14391.08</v>
      </c>
    </row>
    <row r="1047" spans="1:23" ht="44.25" customHeight="1">
      <c r="A1047" s="134"/>
      <c r="B1047" s="134"/>
      <c r="C1047" s="134"/>
      <c r="D1047" s="146"/>
      <c r="E1047" s="39" t="s">
        <v>715</v>
      </c>
      <c r="F1047" s="84">
        <f t="shared" si="118"/>
        <v>1000000</v>
      </c>
      <c r="G1047" s="83">
        <v>1</v>
      </c>
      <c r="H1047" s="84">
        <f t="shared" si="113"/>
        <v>1000000</v>
      </c>
      <c r="I1047" s="17">
        <v>1000000</v>
      </c>
      <c r="J1047" s="17"/>
      <c r="K1047" s="17"/>
      <c r="L1047" s="17"/>
      <c r="M1047" s="17"/>
      <c r="N1047" s="17">
        <v>500000</v>
      </c>
      <c r="O1047" s="17">
        <v>-500000</v>
      </c>
      <c r="P1047" s="17">
        <v>500000</v>
      </c>
      <c r="Q1047" s="17">
        <v>500000</v>
      </c>
      <c r="R1047" s="17"/>
      <c r="S1047" s="17"/>
      <c r="T1047" s="17"/>
      <c r="U1047" s="17"/>
      <c r="V1047" s="17">
        <f t="shared" si="111"/>
        <v>0</v>
      </c>
      <c r="W1047" s="17"/>
    </row>
    <row r="1048" spans="1:23" ht="63" customHeight="1">
      <c r="A1048" s="134"/>
      <c r="B1048" s="134"/>
      <c r="C1048" s="134"/>
      <c r="D1048" s="146"/>
      <c r="E1048" s="39" t="s">
        <v>776</v>
      </c>
      <c r="F1048" s="84">
        <f t="shared" si="118"/>
        <v>1310000</v>
      </c>
      <c r="G1048" s="83">
        <v>1</v>
      </c>
      <c r="H1048" s="84">
        <f t="shared" si="113"/>
        <v>1310000</v>
      </c>
      <c r="I1048" s="17">
        <f>1810000-500000</f>
        <v>1310000</v>
      </c>
      <c r="J1048" s="17"/>
      <c r="K1048" s="17"/>
      <c r="L1048" s="17"/>
      <c r="M1048" s="17"/>
      <c r="N1048" s="17"/>
      <c r="O1048" s="17"/>
      <c r="P1048" s="17"/>
      <c r="Q1048" s="17">
        <v>100000</v>
      </c>
      <c r="R1048" s="17"/>
      <c r="S1048" s="17"/>
      <c r="T1048" s="17">
        <f>855000-500000</f>
        <v>355000</v>
      </c>
      <c r="U1048" s="17">
        <v>855000</v>
      </c>
      <c r="V1048" s="17">
        <f t="shared" si="111"/>
        <v>0</v>
      </c>
      <c r="W1048" s="17"/>
    </row>
    <row r="1049" spans="1:23" ht="41.25" customHeight="1">
      <c r="A1049" s="134"/>
      <c r="B1049" s="134"/>
      <c r="C1049" s="134"/>
      <c r="D1049" s="146"/>
      <c r="E1049" s="39" t="s">
        <v>813</v>
      </c>
      <c r="F1049" s="84">
        <f t="shared" si="118"/>
        <v>37000000</v>
      </c>
      <c r="G1049" s="83">
        <v>1</v>
      </c>
      <c r="H1049" s="84">
        <f t="shared" si="113"/>
        <v>37000000</v>
      </c>
      <c r="I1049" s="17">
        <f>27000000+1993500+8006500</f>
        <v>37000000</v>
      </c>
      <c r="J1049" s="17"/>
      <c r="K1049" s="17"/>
      <c r="L1049" s="17">
        <f>13500000-17000</f>
        <v>13483000</v>
      </c>
      <c r="M1049" s="17">
        <f>700000+3000000+2700000+8006500</f>
        <v>14406500</v>
      </c>
      <c r="N1049" s="17">
        <f>-468000-3152000+2700000+80000</f>
        <v>-840000</v>
      </c>
      <c r="O1049" s="17"/>
      <c r="P1049" s="17">
        <f>6750000-700000-3000000-2700000+205000-80000</f>
        <v>475000</v>
      </c>
      <c r="Q1049" s="17">
        <f>6750000+17000+3152000-2700000</f>
        <v>7219000</v>
      </c>
      <c r="R1049" s="17"/>
      <c r="S1049" s="17">
        <f>1833500+100000</f>
        <v>1933500</v>
      </c>
      <c r="T1049" s="17">
        <v>163000</v>
      </c>
      <c r="U1049" s="17">
        <v>160000</v>
      </c>
      <c r="V1049" s="17">
        <f t="shared" si="111"/>
        <v>0</v>
      </c>
      <c r="W1049" s="17">
        <f>13333383.23+599936.4+2872905.6+2399840.4+1688728.36+6065043.03+84921.28</f>
        <v>27044758.3</v>
      </c>
    </row>
    <row r="1050" spans="1:23" ht="36">
      <c r="A1050" s="134"/>
      <c r="B1050" s="134"/>
      <c r="C1050" s="134"/>
      <c r="D1050" s="146"/>
      <c r="E1050" s="39" t="s">
        <v>513</v>
      </c>
      <c r="F1050" s="84">
        <f t="shared" si="118"/>
        <v>1500000</v>
      </c>
      <c r="G1050" s="83">
        <v>1</v>
      </c>
      <c r="H1050" s="84">
        <f t="shared" si="113"/>
        <v>1500000</v>
      </c>
      <c r="I1050" s="17">
        <v>1500000</v>
      </c>
      <c r="J1050" s="17"/>
      <c r="K1050" s="17"/>
      <c r="L1050" s="17"/>
      <c r="M1050" s="17"/>
      <c r="N1050" s="17">
        <f>300000-80000</f>
        <v>220000</v>
      </c>
      <c r="O1050" s="17"/>
      <c r="P1050" s="17">
        <v>80000</v>
      </c>
      <c r="Q1050" s="17"/>
      <c r="R1050" s="17">
        <v>600000</v>
      </c>
      <c r="S1050" s="17">
        <v>600000</v>
      </c>
      <c r="T1050" s="17"/>
      <c r="U1050" s="17"/>
      <c r="V1050" s="17">
        <f t="shared" si="111"/>
        <v>0</v>
      </c>
      <c r="W1050" s="17"/>
    </row>
    <row r="1051" spans="1:23" ht="83.25" customHeight="1">
      <c r="A1051" s="134"/>
      <c r="B1051" s="134"/>
      <c r="C1051" s="134"/>
      <c r="D1051" s="146"/>
      <c r="E1051" s="112" t="s">
        <v>102</v>
      </c>
      <c r="F1051" s="84">
        <f t="shared" si="118"/>
        <v>3200000</v>
      </c>
      <c r="G1051" s="83">
        <v>1</v>
      </c>
      <c r="H1051" s="84">
        <f t="shared" si="113"/>
        <v>3200000</v>
      </c>
      <c r="I1051" s="113">
        <v>3200000</v>
      </c>
      <c r="J1051" s="17"/>
      <c r="K1051" s="17">
        <v>1600000</v>
      </c>
      <c r="L1051" s="17">
        <v>1600000</v>
      </c>
      <c r="M1051" s="17">
        <v>-700000</v>
      </c>
      <c r="N1051" s="17">
        <v>-1100000</v>
      </c>
      <c r="O1051" s="17"/>
      <c r="P1051" s="17">
        <v>700000</v>
      </c>
      <c r="Q1051" s="17">
        <v>1100000</v>
      </c>
      <c r="R1051" s="17"/>
      <c r="S1051" s="17"/>
      <c r="T1051" s="17"/>
      <c r="U1051" s="17"/>
      <c r="V1051" s="17">
        <f t="shared" si="111"/>
        <v>0</v>
      </c>
      <c r="W1051" s="17">
        <f>1303449+951.6</f>
        <v>1304400.6</v>
      </c>
    </row>
    <row r="1052" spans="1:23" ht="79.5" customHeight="1">
      <c r="A1052" s="134"/>
      <c r="B1052" s="134"/>
      <c r="C1052" s="134"/>
      <c r="D1052" s="146"/>
      <c r="E1052" s="39" t="s">
        <v>45</v>
      </c>
      <c r="F1052" s="84">
        <f t="shared" si="118"/>
        <v>147000</v>
      </c>
      <c r="G1052" s="83">
        <v>1</v>
      </c>
      <c r="H1052" s="84">
        <f t="shared" si="113"/>
        <v>147000</v>
      </c>
      <c r="I1052" s="17">
        <v>147000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>
        <v>147000</v>
      </c>
      <c r="U1052" s="17"/>
      <c r="V1052" s="17">
        <f t="shared" si="111"/>
        <v>0</v>
      </c>
      <c r="W1052" s="17"/>
    </row>
    <row r="1053" spans="1:23" ht="79.5" customHeight="1">
      <c r="A1053" s="134"/>
      <c r="B1053" s="134"/>
      <c r="C1053" s="134"/>
      <c r="D1053" s="146"/>
      <c r="E1053" s="39" t="s">
        <v>46</v>
      </c>
      <c r="F1053" s="84">
        <f t="shared" si="118"/>
        <v>1036000</v>
      </c>
      <c r="G1053" s="83">
        <v>1</v>
      </c>
      <c r="H1053" s="84">
        <f t="shared" si="113"/>
        <v>1036000</v>
      </c>
      <c r="I1053" s="17">
        <v>1036000</v>
      </c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>
        <v>1036000</v>
      </c>
      <c r="U1053" s="17"/>
      <c r="V1053" s="17">
        <f t="shared" si="111"/>
        <v>0</v>
      </c>
      <c r="W1053" s="17"/>
    </row>
    <row r="1054" spans="1:23" ht="82.5" customHeight="1">
      <c r="A1054" s="134"/>
      <c r="B1054" s="134"/>
      <c r="C1054" s="134"/>
      <c r="D1054" s="146"/>
      <c r="E1054" s="39" t="s">
        <v>112</v>
      </c>
      <c r="F1054" s="84">
        <f t="shared" si="118"/>
        <v>137000</v>
      </c>
      <c r="G1054" s="83">
        <v>1</v>
      </c>
      <c r="H1054" s="84">
        <f t="shared" si="113"/>
        <v>137000</v>
      </c>
      <c r="I1054" s="17">
        <v>137000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>
        <v>137000</v>
      </c>
      <c r="U1054" s="17"/>
      <c r="V1054" s="17">
        <f t="shared" si="111"/>
        <v>0</v>
      </c>
      <c r="W1054" s="17"/>
    </row>
    <row r="1055" spans="1:23" ht="81" customHeight="1">
      <c r="A1055" s="134"/>
      <c r="B1055" s="134"/>
      <c r="C1055" s="134"/>
      <c r="D1055" s="146"/>
      <c r="E1055" s="39" t="s">
        <v>111</v>
      </c>
      <c r="F1055" s="84">
        <f t="shared" si="118"/>
        <v>254000</v>
      </c>
      <c r="G1055" s="83">
        <v>1</v>
      </c>
      <c r="H1055" s="84">
        <f t="shared" si="113"/>
        <v>254000</v>
      </c>
      <c r="I1055" s="17">
        <v>254000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>
        <v>254000</v>
      </c>
      <c r="U1055" s="17"/>
      <c r="V1055" s="17">
        <f t="shared" si="111"/>
        <v>0</v>
      </c>
      <c r="W1055" s="17"/>
    </row>
    <row r="1056" spans="1:23" ht="81.75" customHeight="1">
      <c r="A1056" s="134"/>
      <c r="B1056" s="134"/>
      <c r="C1056" s="134"/>
      <c r="D1056" s="146"/>
      <c r="E1056" s="39" t="s">
        <v>113</v>
      </c>
      <c r="F1056" s="84">
        <f t="shared" si="118"/>
        <v>400000</v>
      </c>
      <c r="G1056" s="83">
        <v>1</v>
      </c>
      <c r="H1056" s="84">
        <f t="shared" si="113"/>
        <v>400000</v>
      </c>
      <c r="I1056" s="17">
        <v>400000</v>
      </c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>
        <v>400000</v>
      </c>
      <c r="U1056" s="17"/>
      <c r="V1056" s="17">
        <f t="shared" si="111"/>
        <v>0</v>
      </c>
      <c r="W1056" s="17"/>
    </row>
    <row r="1057" spans="1:23" ht="83.25" customHeight="1">
      <c r="A1057" s="134"/>
      <c r="B1057" s="134"/>
      <c r="C1057" s="134"/>
      <c r="D1057" s="146"/>
      <c r="E1057" s="16" t="s">
        <v>830</v>
      </c>
      <c r="F1057" s="84">
        <f t="shared" si="118"/>
        <v>248000</v>
      </c>
      <c r="G1057" s="83">
        <v>1</v>
      </c>
      <c r="H1057" s="84">
        <f t="shared" si="113"/>
        <v>248000</v>
      </c>
      <c r="I1057" s="30">
        <v>248000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>
        <v>248000</v>
      </c>
      <c r="U1057" s="17"/>
      <c r="V1057" s="17">
        <f t="shared" si="111"/>
        <v>0</v>
      </c>
      <c r="W1057" s="17"/>
    </row>
    <row r="1058" spans="1:23" ht="78.75" customHeight="1">
      <c r="A1058" s="134"/>
      <c r="B1058" s="134"/>
      <c r="C1058" s="134"/>
      <c r="D1058" s="146"/>
      <c r="E1058" s="39" t="s">
        <v>816</v>
      </c>
      <c r="F1058" s="84">
        <f t="shared" si="118"/>
        <v>3300000</v>
      </c>
      <c r="G1058" s="83">
        <v>1</v>
      </c>
      <c r="H1058" s="84">
        <f t="shared" si="113"/>
        <v>3300000</v>
      </c>
      <c r="I1058" s="17">
        <v>3300000</v>
      </c>
      <c r="J1058" s="17"/>
      <c r="K1058" s="17"/>
      <c r="L1058" s="17">
        <v>2500</v>
      </c>
      <c r="M1058" s="17"/>
      <c r="N1058" s="17">
        <f>1000000-200000</f>
        <v>800000</v>
      </c>
      <c r="O1058" s="17"/>
      <c r="P1058" s="17"/>
      <c r="Q1058" s="17">
        <f>2300000-2500+200000</f>
        <v>2497500</v>
      </c>
      <c r="R1058" s="17"/>
      <c r="S1058" s="17"/>
      <c r="T1058" s="17"/>
      <c r="U1058" s="17"/>
      <c r="V1058" s="17">
        <f t="shared" si="111"/>
        <v>0</v>
      </c>
      <c r="W1058" s="17">
        <f>2455.85+748029.6</f>
        <v>750485.45</v>
      </c>
    </row>
    <row r="1059" spans="1:23" ht="72">
      <c r="A1059" s="134"/>
      <c r="B1059" s="134"/>
      <c r="C1059" s="134"/>
      <c r="D1059" s="146"/>
      <c r="E1059" s="39" t="s">
        <v>907</v>
      </c>
      <c r="F1059" s="84">
        <f t="shared" si="118"/>
        <v>12120000</v>
      </c>
      <c r="G1059" s="83">
        <v>1</v>
      </c>
      <c r="H1059" s="84">
        <f t="shared" si="113"/>
        <v>12120000</v>
      </c>
      <c r="I1059" s="17">
        <v>12120000</v>
      </c>
      <c r="J1059" s="17"/>
      <c r="K1059" s="17"/>
      <c r="L1059" s="17"/>
      <c r="M1059" s="17">
        <f>3300000-1460000-1710000</f>
        <v>130000</v>
      </c>
      <c r="N1059" s="17">
        <f>1329200-1400000</f>
        <v>-70800</v>
      </c>
      <c r="O1059" s="17">
        <f>2379528.46-2300000+86000</f>
        <v>165528.45999999996</v>
      </c>
      <c r="P1059" s="17">
        <f>330800+1460000+1710000+2300000-86000</f>
        <v>5714800</v>
      </c>
      <c r="Q1059" s="17">
        <f>1991271.54+1400000</f>
        <v>3391271.54</v>
      </c>
      <c r="R1059" s="17"/>
      <c r="S1059" s="17">
        <v>2789200</v>
      </c>
      <c r="T1059" s="17"/>
      <c r="U1059" s="17"/>
      <c r="V1059" s="17">
        <f t="shared" si="111"/>
        <v>-9.313225746154785E-10</v>
      </c>
      <c r="W1059" s="17">
        <f>37910.17+6413+179414.38</f>
        <v>223737.55</v>
      </c>
    </row>
    <row r="1060" spans="1:23" ht="100.5" customHeight="1">
      <c r="A1060" s="134"/>
      <c r="B1060" s="134"/>
      <c r="C1060" s="134"/>
      <c r="D1060" s="146"/>
      <c r="E1060" s="39" t="s">
        <v>908</v>
      </c>
      <c r="F1060" s="84">
        <f t="shared" si="118"/>
        <v>18000000</v>
      </c>
      <c r="G1060" s="83">
        <v>1</v>
      </c>
      <c r="H1060" s="84">
        <f t="shared" si="113"/>
        <v>18000000</v>
      </c>
      <c r="I1060" s="17">
        <v>18000000</v>
      </c>
      <c r="J1060" s="17"/>
      <c r="K1060" s="17"/>
      <c r="L1060" s="17">
        <v>5644871.54</v>
      </c>
      <c r="M1060" s="17">
        <f>-3000000+1710000</f>
        <v>-1290000</v>
      </c>
      <c r="N1060" s="17">
        <f>5000+3400000</f>
        <v>3405000</v>
      </c>
      <c r="O1060" s="17">
        <v>582000</v>
      </c>
      <c r="P1060" s="17">
        <f>3355128.46+3000000-1710000-5000-3400000-582000</f>
        <v>658128.46</v>
      </c>
      <c r="Q1060" s="17"/>
      <c r="R1060" s="17"/>
      <c r="S1060" s="17">
        <v>3000000</v>
      </c>
      <c r="T1060" s="17">
        <v>3000000</v>
      </c>
      <c r="U1060" s="17">
        <v>3000000</v>
      </c>
      <c r="V1060" s="17">
        <f t="shared" si="111"/>
        <v>0</v>
      </c>
      <c r="W1060" s="17">
        <f>4351772.44+7541+3400000+581526.71</f>
        <v>8340840.15</v>
      </c>
    </row>
    <row r="1061" spans="1:23" ht="100.5" customHeight="1">
      <c r="A1061" s="134"/>
      <c r="B1061" s="134"/>
      <c r="C1061" s="134"/>
      <c r="D1061" s="146"/>
      <c r="E1061" s="39" t="s">
        <v>27</v>
      </c>
      <c r="F1061" s="84">
        <f t="shared" si="118"/>
        <v>8000000</v>
      </c>
      <c r="G1061" s="83">
        <v>1</v>
      </c>
      <c r="H1061" s="84">
        <f t="shared" si="113"/>
        <v>8000000</v>
      </c>
      <c r="I1061" s="17">
        <v>8000000</v>
      </c>
      <c r="J1061" s="17"/>
      <c r="K1061" s="17"/>
      <c r="L1061" s="17">
        <v>3875000</v>
      </c>
      <c r="M1061" s="17"/>
      <c r="N1061" s="17">
        <v>141000</v>
      </c>
      <c r="O1061" s="17"/>
      <c r="P1061" s="17">
        <f>2091666.54-2091666.54</f>
        <v>0</v>
      </c>
      <c r="Q1061" s="17">
        <f>1908333.46-1783333.46</f>
        <v>125000</v>
      </c>
      <c r="R1061" s="17"/>
      <c r="S1061" s="17"/>
      <c r="T1061" s="17">
        <f>2000000-141000</f>
        <v>1859000</v>
      </c>
      <c r="U1061" s="17">
        <v>2000000</v>
      </c>
      <c r="V1061" s="17">
        <f t="shared" si="111"/>
        <v>0</v>
      </c>
      <c r="W1061" s="17">
        <f>3875000+140381</f>
        <v>4015381</v>
      </c>
    </row>
    <row r="1062" spans="1:23" ht="100.5" customHeight="1">
      <c r="A1062" s="134"/>
      <c r="B1062" s="134"/>
      <c r="C1062" s="134"/>
      <c r="D1062" s="146"/>
      <c r="E1062" s="39" t="s">
        <v>103</v>
      </c>
      <c r="F1062" s="84">
        <f t="shared" si="118"/>
        <v>1000000</v>
      </c>
      <c r="G1062" s="83">
        <v>1</v>
      </c>
      <c r="H1062" s="84">
        <f t="shared" si="113"/>
        <v>1000000</v>
      </c>
      <c r="I1062" s="17">
        <v>1000000</v>
      </c>
      <c r="J1062" s="17"/>
      <c r="K1062" s="17"/>
      <c r="L1062" s="17"/>
      <c r="M1062" s="17"/>
      <c r="N1062" s="17">
        <v>100000</v>
      </c>
      <c r="O1062" s="17"/>
      <c r="P1062" s="17"/>
      <c r="Q1062" s="17"/>
      <c r="R1062" s="17"/>
      <c r="S1062" s="17">
        <f>500000-100000</f>
        <v>400000</v>
      </c>
      <c r="T1062" s="17"/>
      <c r="U1062" s="17">
        <v>500000</v>
      </c>
      <c r="V1062" s="17">
        <f t="shared" si="111"/>
        <v>0</v>
      </c>
      <c r="W1062" s="17">
        <f>98383</f>
        <v>98383</v>
      </c>
    </row>
    <row r="1063" spans="1:23" ht="36">
      <c r="A1063" s="134"/>
      <c r="B1063" s="134"/>
      <c r="C1063" s="134"/>
      <c r="D1063" s="146"/>
      <c r="E1063" s="16" t="s">
        <v>831</v>
      </c>
      <c r="F1063" s="84">
        <f t="shared" si="118"/>
        <v>500000</v>
      </c>
      <c r="G1063" s="83">
        <v>1</v>
      </c>
      <c r="H1063" s="84">
        <f t="shared" si="113"/>
        <v>500000</v>
      </c>
      <c r="I1063" s="30">
        <v>500000</v>
      </c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>
        <v>250000</v>
      </c>
      <c r="U1063" s="17">
        <v>250000</v>
      </c>
      <c r="V1063" s="17">
        <f t="shared" si="111"/>
        <v>0</v>
      </c>
      <c r="W1063" s="17"/>
    </row>
    <row r="1064" spans="1:23" ht="44.25" customHeight="1">
      <c r="A1064" s="134"/>
      <c r="B1064" s="133"/>
      <c r="C1064" s="134"/>
      <c r="D1064" s="146"/>
      <c r="E1064" s="16" t="s">
        <v>33</v>
      </c>
      <c r="F1064" s="84">
        <f t="shared" si="118"/>
        <v>1295000</v>
      </c>
      <c r="G1064" s="83">
        <v>1</v>
      </c>
      <c r="H1064" s="84">
        <f t="shared" si="113"/>
        <v>1295000</v>
      </c>
      <c r="I1064" s="30">
        <f>5000000-500000-200000-3005000</f>
        <v>1295000</v>
      </c>
      <c r="J1064" s="17"/>
      <c r="K1064" s="17"/>
      <c r="L1064" s="17"/>
      <c r="M1064" s="17"/>
      <c r="N1064" s="17"/>
      <c r="O1064" s="17"/>
      <c r="P1064" s="17">
        <f>300000-200000</f>
        <v>100000</v>
      </c>
      <c r="Q1064" s="17"/>
      <c r="R1064" s="17"/>
      <c r="S1064" s="17">
        <f>2100000-2100000</f>
        <v>0</v>
      </c>
      <c r="T1064" s="17"/>
      <c r="U1064" s="17">
        <f>2100000-905000</f>
        <v>1195000</v>
      </c>
      <c r="V1064" s="17">
        <f t="shared" si="111"/>
        <v>0</v>
      </c>
      <c r="W1064" s="17"/>
    </row>
    <row r="1065" spans="1:23" ht="18">
      <c r="A1065" s="132" t="s">
        <v>944</v>
      </c>
      <c r="B1065" s="132" t="s">
        <v>935</v>
      </c>
      <c r="C1065" s="132" t="s">
        <v>68</v>
      </c>
      <c r="D1065" s="145" t="s">
        <v>719</v>
      </c>
      <c r="E1065" s="16"/>
      <c r="F1065" s="16"/>
      <c r="G1065" s="16"/>
      <c r="H1065" s="16"/>
      <c r="I1065" s="35">
        <f>I1067+I1066</f>
        <v>7335800</v>
      </c>
      <c r="J1065" s="35">
        <f aca="true" t="shared" si="119" ref="J1065:W1065">J1067+J1066</f>
        <v>0</v>
      </c>
      <c r="K1065" s="35">
        <f t="shared" si="119"/>
        <v>0</v>
      </c>
      <c r="L1065" s="35">
        <f t="shared" si="119"/>
        <v>500000</v>
      </c>
      <c r="M1065" s="35">
        <f t="shared" si="119"/>
        <v>-85125</v>
      </c>
      <c r="N1065" s="35">
        <f t="shared" si="119"/>
        <v>0</v>
      </c>
      <c r="O1065" s="35">
        <f t="shared" si="119"/>
        <v>0</v>
      </c>
      <c r="P1065" s="35">
        <f t="shared" si="119"/>
        <v>0</v>
      </c>
      <c r="Q1065" s="35">
        <f t="shared" si="119"/>
        <v>243500</v>
      </c>
      <c r="R1065" s="35">
        <f t="shared" si="119"/>
        <v>250000</v>
      </c>
      <c r="S1065" s="35">
        <f t="shared" si="119"/>
        <v>266500</v>
      </c>
      <c r="T1065" s="35">
        <f t="shared" si="119"/>
        <v>5585125</v>
      </c>
      <c r="U1065" s="35">
        <f t="shared" si="119"/>
        <v>575800</v>
      </c>
      <c r="V1065" s="35">
        <f t="shared" si="119"/>
        <v>0</v>
      </c>
      <c r="W1065" s="35">
        <f t="shared" si="119"/>
        <v>3173.65</v>
      </c>
    </row>
    <row r="1066" spans="1:23" ht="54">
      <c r="A1066" s="134"/>
      <c r="B1066" s="134"/>
      <c r="C1066" s="134"/>
      <c r="D1066" s="146"/>
      <c r="E1066" s="16" t="s">
        <v>1069</v>
      </c>
      <c r="F1066" s="16"/>
      <c r="G1066" s="45"/>
      <c r="H1066" s="16"/>
      <c r="I1066" s="30">
        <v>760000</v>
      </c>
      <c r="J1066" s="30"/>
      <c r="K1066" s="30"/>
      <c r="L1066" s="30"/>
      <c r="M1066" s="30"/>
      <c r="N1066" s="30"/>
      <c r="O1066" s="30"/>
      <c r="P1066" s="30"/>
      <c r="Q1066" s="30">
        <v>243500</v>
      </c>
      <c r="R1066" s="30">
        <v>250000</v>
      </c>
      <c r="S1066" s="30">
        <v>266500</v>
      </c>
      <c r="T1066" s="30"/>
      <c r="U1066" s="30"/>
      <c r="V1066" s="17">
        <f t="shared" si="111"/>
        <v>0</v>
      </c>
      <c r="W1066" s="35"/>
    </row>
    <row r="1067" spans="1:23" ht="54">
      <c r="A1067" s="133"/>
      <c r="B1067" s="133"/>
      <c r="C1067" s="133"/>
      <c r="D1067" s="135"/>
      <c r="E1067" s="36" t="s">
        <v>431</v>
      </c>
      <c r="F1067" s="84">
        <f>I1067</f>
        <v>6575800</v>
      </c>
      <c r="G1067" s="83">
        <v>1</v>
      </c>
      <c r="H1067" s="84">
        <f t="shared" si="113"/>
        <v>6575800</v>
      </c>
      <c r="I1067" s="30">
        <f>10000000-3424200</f>
        <v>6575800</v>
      </c>
      <c r="J1067" s="17"/>
      <c r="K1067" s="17"/>
      <c r="L1067" s="17">
        <v>500000</v>
      </c>
      <c r="M1067" s="17">
        <f>1500000-1585125</f>
        <v>-85125</v>
      </c>
      <c r="N1067" s="17"/>
      <c r="O1067" s="17"/>
      <c r="P1067" s="17"/>
      <c r="Q1067" s="17"/>
      <c r="R1067" s="17"/>
      <c r="S1067" s="17"/>
      <c r="T1067" s="17">
        <f>4000000+1585125</f>
        <v>5585125</v>
      </c>
      <c r="U1067" s="17">
        <f>4000000-3424200</f>
        <v>575800</v>
      </c>
      <c r="V1067" s="17">
        <f t="shared" si="111"/>
        <v>0</v>
      </c>
      <c r="W1067" s="17">
        <f>3173.65</f>
        <v>3173.65</v>
      </c>
    </row>
    <row r="1068" spans="1:23" ht="18" customHeight="1" hidden="1">
      <c r="A1068" s="179" t="s">
        <v>115</v>
      </c>
      <c r="B1068" s="180"/>
      <c r="C1068" s="179" t="s">
        <v>677</v>
      </c>
      <c r="D1068" s="139" t="s">
        <v>481</v>
      </c>
      <c r="E1068" s="16"/>
      <c r="F1068" s="16"/>
      <c r="G1068" s="16"/>
      <c r="H1068" s="16"/>
      <c r="I1068" s="35">
        <f>I1069</f>
        <v>0</v>
      </c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>
        <f aca="true" t="shared" si="120" ref="V1068:V1130">I1068-J1068-K1068-L1068-M1068-N1068-O1068-P1068-Q1068-R1068-S1068-T1068-U1068</f>
        <v>0</v>
      </c>
      <c r="W1068" s="17"/>
    </row>
    <row r="1069" spans="1:23" ht="18" hidden="1">
      <c r="A1069" s="181"/>
      <c r="B1069" s="182"/>
      <c r="C1069" s="181"/>
      <c r="D1069" s="131"/>
      <c r="E1069" s="16"/>
      <c r="F1069" s="16"/>
      <c r="G1069" s="16"/>
      <c r="H1069" s="16"/>
      <c r="I1069" s="30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>
        <f t="shared" si="120"/>
        <v>0</v>
      </c>
      <c r="W1069" s="17"/>
    </row>
    <row r="1070" spans="1:23" ht="18">
      <c r="A1070" s="147" t="s">
        <v>564</v>
      </c>
      <c r="B1070" s="132" t="s">
        <v>197</v>
      </c>
      <c r="C1070" s="147" t="s">
        <v>678</v>
      </c>
      <c r="D1070" s="148" t="s">
        <v>679</v>
      </c>
      <c r="E1070" s="39"/>
      <c r="F1070" s="39"/>
      <c r="G1070" s="39"/>
      <c r="H1070" s="39"/>
      <c r="I1070" s="19">
        <f>I1071+I1072+I1079+I1082</f>
        <v>1409530</v>
      </c>
      <c r="J1070" s="19">
        <f aca="true" t="shared" si="121" ref="J1070:W1070">J1071+J1072+J1079+J1082</f>
        <v>0</v>
      </c>
      <c r="K1070" s="19">
        <f t="shared" si="121"/>
        <v>0</v>
      </c>
      <c r="L1070" s="19">
        <f t="shared" si="121"/>
        <v>402800</v>
      </c>
      <c r="M1070" s="19">
        <f t="shared" si="121"/>
        <v>407530</v>
      </c>
      <c r="N1070" s="19">
        <f t="shared" si="121"/>
        <v>101800</v>
      </c>
      <c r="O1070" s="19">
        <f t="shared" si="121"/>
        <v>35800</v>
      </c>
      <c r="P1070" s="19">
        <f t="shared" si="121"/>
        <v>26800</v>
      </c>
      <c r="Q1070" s="19">
        <f t="shared" si="121"/>
        <v>11600</v>
      </c>
      <c r="R1070" s="19">
        <f t="shared" si="121"/>
        <v>5800</v>
      </c>
      <c r="S1070" s="19">
        <f t="shared" si="121"/>
        <v>355800</v>
      </c>
      <c r="T1070" s="19">
        <f t="shared" si="121"/>
        <v>55800</v>
      </c>
      <c r="U1070" s="19">
        <f t="shared" si="121"/>
        <v>5800</v>
      </c>
      <c r="V1070" s="19">
        <f t="shared" si="121"/>
        <v>0</v>
      </c>
      <c r="W1070" s="19">
        <f t="shared" si="121"/>
        <v>440841.71</v>
      </c>
    </row>
    <row r="1071" spans="1:23" ht="44.25" customHeight="1">
      <c r="A1071" s="147"/>
      <c r="B1071" s="134"/>
      <c r="C1071" s="147"/>
      <c r="D1071" s="148"/>
      <c r="E1071" s="16" t="s">
        <v>34</v>
      </c>
      <c r="F1071" s="84">
        <f>I1071</f>
        <v>50000</v>
      </c>
      <c r="G1071" s="83">
        <v>1</v>
      </c>
      <c r="H1071" s="84">
        <f>I1071</f>
        <v>50000</v>
      </c>
      <c r="I1071" s="30">
        <v>50000</v>
      </c>
      <c r="J1071" s="17"/>
      <c r="K1071" s="17"/>
      <c r="L1071" s="17">
        <v>50000</v>
      </c>
      <c r="M1071" s="17"/>
      <c r="N1071" s="17"/>
      <c r="O1071" s="17"/>
      <c r="P1071" s="17"/>
      <c r="Q1071" s="17"/>
      <c r="R1071" s="17"/>
      <c r="S1071" s="17"/>
      <c r="T1071" s="17"/>
      <c r="U1071" s="17"/>
      <c r="V1071" s="17">
        <f t="shared" si="120"/>
        <v>0</v>
      </c>
      <c r="W1071" s="17">
        <f>43508.4+673.31</f>
        <v>44181.71</v>
      </c>
    </row>
    <row r="1072" spans="1:23" ht="64.5" customHeight="1">
      <c r="A1072" s="147"/>
      <c r="B1072" s="134"/>
      <c r="C1072" s="147"/>
      <c r="D1072" s="148"/>
      <c r="E1072" s="18" t="s">
        <v>69</v>
      </c>
      <c r="F1072" s="18"/>
      <c r="G1072" s="18"/>
      <c r="H1072" s="18"/>
      <c r="I1072" s="35">
        <f>SUM(I1073:I1078)</f>
        <v>934530</v>
      </c>
      <c r="J1072" s="35">
        <f aca="true" t="shared" si="122" ref="J1072:W1072">SUM(J1073:J1078)</f>
        <v>0</v>
      </c>
      <c r="K1072" s="35">
        <f t="shared" si="122"/>
        <v>0</v>
      </c>
      <c r="L1072" s="35">
        <f t="shared" si="122"/>
        <v>347000</v>
      </c>
      <c r="M1072" s="35">
        <f t="shared" si="122"/>
        <v>187530</v>
      </c>
      <c r="N1072" s="35">
        <f t="shared" si="122"/>
        <v>0</v>
      </c>
      <c r="O1072" s="35">
        <f t="shared" si="122"/>
        <v>0</v>
      </c>
      <c r="P1072" s="35">
        <f t="shared" si="122"/>
        <v>0</v>
      </c>
      <c r="Q1072" s="35">
        <f t="shared" si="122"/>
        <v>0</v>
      </c>
      <c r="R1072" s="35">
        <f t="shared" si="122"/>
        <v>0</v>
      </c>
      <c r="S1072" s="35">
        <f t="shared" si="122"/>
        <v>350000</v>
      </c>
      <c r="T1072" s="35">
        <f t="shared" si="122"/>
        <v>50000</v>
      </c>
      <c r="U1072" s="35">
        <f t="shared" si="122"/>
        <v>0</v>
      </c>
      <c r="V1072" s="35">
        <f t="shared" si="122"/>
        <v>0</v>
      </c>
      <c r="W1072" s="35">
        <f t="shared" si="122"/>
        <v>395730</v>
      </c>
    </row>
    <row r="1073" spans="1:23" ht="36">
      <c r="A1073" s="147"/>
      <c r="B1073" s="134"/>
      <c r="C1073" s="147"/>
      <c r="D1073" s="148"/>
      <c r="E1073" s="16" t="s">
        <v>70</v>
      </c>
      <c r="F1073" s="16"/>
      <c r="G1073" s="16"/>
      <c r="H1073" s="16"/>
      <c r="I1073" s="30">
        <v>187530</v>
      </c>
      <c r="J1073" s="17"/>
      <c r="K1073" s="183"/>
      <c r="L1073" s="183"/>
      <c r="M1073" s="30">
        <v>187530</v>
      </c>
      <c r="N1073" s="183"/>
      <c r="O1073" s="183"/>
      <c r="P1073" s="183"/>
      <c r="Q1073" s="183"/>
      <c r="R1073" s="183"/>
      <c r="S1073" s="183"/>
      <c r="T1073" s="183"/>
      <c r="U1073" s="183"/>
      <c r="V1073" s="17">
        <f t="shared" si="120"/>
        <v>0</v>
      </c>
      <c r="W1073" s="17">
        <v>187530</v>
      </c>
    </row>
    <row r="1074" spans="1:23" ht="54" hidden="1">
      <c r="A1074" s="147"/>
      <c r="B1074" s="134"/>
      <c r="C1074" s="147"/>
      <c r="D1074" s="148"/>
      <c r="E1074" s="16" t="s">
        <v>35</v>
      </c>
      <c r="F1074" s="16"/>
      <c r="G1074" s="16"/>
      <c r="H1074" s="16"/>
      <c r="I1074" s="30">
        <f>190000-190000</f>
        <v>0</v>
      </c>
      <c r="J1074" s="17"/>
      <c r="K1074" s="17"/>
      <c r="L1074" s="17"/>
      <c r="M1074" s="17"/>
      <c r="N1074" s="17"/>
      <c r="O1074" s="30">
        <f>190000-190000</f>
        <v>0</v>
      </c>
      <c r="P1074" s="17"/>
      <c r="Q1074" s="17"/>
      <c r="R1074" s="17"/>
      <c r="S1074" s="17"/>
      <c r="T1074" s="17"/>
      <c r="U1074" s="17"/>
      <c r="V1074" s="17">
        <f t="shared" si="120"/>
        <v>0</v>
      </c>
      <c r="W1074" s="17"/>
    </row>
    <row r="1075" spans="1:23" ht="36">
      <c r="A1075" s="147"/>
      <c r="B1075" s="134"/>
      <c r="C1075" s="147"/>
      <c r="D1075" s="148"/>
      <c r="E1075" s="16" t="s">
        <v>36</v>
      </c>
      <c r="F1075" s="16"/>
      <c r="G1075" s="16"/>
      <c r="H1075" s="16"/>
      <c r="I1075" s="30">
        <v>50000</v>
      </c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30">
        <v>50000</v>
      </c>
      <c r="U1075" s="17"/>
      <c r="V1075" s="17">
        <f t="shared" si="120"/>
        <v>0</v>
      </c>
      <c r="W1075" s="17"/>
    </row>
    <row r="1076" spans="1:23" ht="54">
      <c r="A1076" s="147"/>
      <c r="B1076" s="134"/>
      <c r="C1076" s="147"/>
      <c r="D1076" s="148"/>
      <c r="E1076" s="16" t="s">
        <v>37</v>
      </c>
      <c r="F1076" s="16"/>
      <c r="G1076" s="16"/>
      <c r="H1076" s="16"/>
      <c r="I1076" s="30">
        <v>229500</v>
      </c>
      <c r="J1076" s="17"/>
      <c r="K1076" s="17"/>
      <c r="L1076" s="30">
        <v>229500</v>
      </c>
      <c r="M1076" s="17"/>
      <c r="N1076" s="17"/>
      <c r="O1076" s="17"/>
      <c r="P1076" s="17"/>
      <c r="Q1076" s="17"/>
      <c r="R1076" s="17"/>
      <c r="S1076" s="17"/>
      <c r="T1076" s="17"/>
      <c r="U1076" s="17"/>
      <c r="V1076" s="17">
        <f t="shared" si="120"/>
        <v>0</v>
      </c>
      <c r="W1076" s="17">
        <v>137700</v>
      </c>
    </row>
    <row r="1077" spans="1:23" ht="72">
      <c r="A1077" s="147"/>
      <c r="B1077" s="134"/>
      <c r="C1077" s="147"/>
      <c r="D1077" s="148"/>
      <c r="E1077" s="16" t="s">
        <v>38</v>
      </c>
      <c r="F1077" s="16"/>
      <c r="G1077" s="16"/>
      <c r="H1077" s="16"/>
      <c r="I1077" s="30">
        <v>117500</v>
      </c>
      <c r="J1077" s="17"/>
      <c r="K1077" s="17"/>
      <c r="L1077" s="30">
        <v>117500</v>
      </c>
      <c r="M1077" s="17"/>
      <c r="N1077" s="17"/>
      <c r="O1077" s="17"/>
      <c r="P1077" s="17"/>
      <c r="Q1077" s="17"/>
      <c r="R1077" s="17"/>
      <c r="S1077" s="17"/>
      <c r="T1077" s="17"/>
      <c r="U1077" s="17"/>
      <c r="V1077" s="17">
        <f t="shared" si="120"/>
        <v>0</v>
      </c>
      <c r="W1077" s="17">
        <v>70500</v>
      </c>
    </row>
    <row r="1078" spans="1:23" ht="72">
      <c r="A1078" s="147"/>
      <c r="B1078" s="134"/>
      <c r="C1078" s="147"/>
      <c r="D1078" s="148"/>
      <c r="E1078" s="16" t="s">
        <v>39</v>
      </c>
      <c r="F1078" s="16"/>
      <c r="G1078" s="16"/>
      <c r="H1078" s="16"/>
      <c r="I1078" s="30">
        <v>350000</v>
      </c>
      <c r="J1078" s="17"/>
      <c r="K1078" s="17"/>
      <c r="L1078" s="17"/>
      <c r="M1078" s="17"/>
      <c r="N1078" s="17"/>
      <c r="O1078" s="17"/>
      <c r="P1078" s="17"/>
      <c r="Q1078" s="17"/>
      <c r="R1078" s="17"/>
      <c r="S1078" s="30">
        <v>350000</v>
      </c>
      <c r="T1078" s="17"/>
      <c r="U1078" s="17"/>
      <c r="V1078" s="17">
        <f t="shared" si="120"/>
        <v>0</v>
      </c>
      <c r="W1078" s="17"/>
    </row>
    <row r="1079" spans="1:23" ht="51.75">
      <c r="A1079" s="147"/>
      <c r="B1079" s="134"/>
      <c r="C1079" s="147"/>
      <c r="D1079" s="148"/>
      <c r="E1079" s="18" t="s">
        <v>782</v>
      </c>
      <c r="F1079" s="18"/>
      <c r="G1079" s="18"/>
      <c r="H1079" s="18"/>
      <c r="I1079" s="35">
        <f>SUM(I1080:I1081)</f>
        <v>58000</v>
      </c>
      <c r="J1079" s="35">
        <f aca="true" t="shared" si="123" ref="J1079:W1079">SUM(J1080:J1081)</f>
        <v>0</v>
      </c>
      <c r="K1079" s="35">
        <f t="shared" si="123"/>
        <v>0</v>
      </c>
      <c r="L1079" s="35">
        <f t="shared" si="123"/>
        <v>5800</v>
      </c>
      <c r="M1079" s="35">
        <f t="shared" si="123"/>
        <v>0</v>
      </c>
      <c r="N1079" s="35">
        <f t="shared" si="123"/>
        <v>5800</v>
      </c>
      <c r="O1079" s="35">
        <f t="shared" si="123"/>
        <v>5800</v>
      </c>
      <c r="P1079" s="35">
        <f t="shared" si="123"/>
        <v>5800</v>
      </c>
      <c r="Q1079" s="35">
        <f t="shared" si="123"/>
        <v>11600</v>
      </c>
      <c r="R1079" s="35">
        <f t="shared" si="123"/>
        <v>5800</v>
      </c>
      <c r="S1079" s="35">
        <f t="shared" si="123"/>
        <v>5800</v>
      </c>
      <c r="T1079" s="35">
        <f t="shared" si="123"/>
        <v>5800</v>
      </c>
      <c r="U1079" s="35">
        <f t="shared" si="123"/>
        <v>5800</v>
      </c>
      <c r="V1079" s="35">
        <f t="shared" si="123"/>
        <v>0</v>
      </c>
      <c r="W1079" s="35">
        <f t="shared" si="123"/>
        <v>930</v>
      </c>
    </row>
    <row r="1080" spans="1:23" ht="36">
      <c r="A1080" s="147"/>
      <c r="B1080" s="134"/>
      <c r="C1080" s="147"/>
      <c r="D1080" s="148"/>
      <c r="E1080" s="16" t="s">
        <v>13</v>
      </c>
      <c r="F1080" s="16"/>
      <c r="G1080" s="16"/>
      <c r="H1080" s="16"/>
      <c r="I1080" s="30">
        <v>29000</v>
      </c>
      <c r="J1080" s="17"/>
      <c r="K1080" s="17"/>
      <c r="L1080" s="17">
        <v>2900</v>
      </c>
      <c r="M1080" s="17"/>
      <c r="N1080" s="17">
        <v>2900</v>
      </c>
      <c r="O1080" s="17">
        <v>2900</v>
      </c>
      <c r="P1080" s="17">
        <v>2900</v>
      </c>
      <c r="Q1080" s="17">
        <v>5800</v>
      </c>
      <c r="R1080" s="17">
        <v>2900</v>
      </c>
      <c r="S1080" s="17">
        <v>2900</v>
      </c>
      <c r="T1080" s="17">
        <v>2900</v>
      </c>
      <c r="U1080" s="17">
        <v>2900</v>
      </c>
      <c r="V1080" s="17">
        <f t="shared" si="120"/>
        <v>0</v>
      </c>
      <c r="W1080" s="17">
        <f>630+300</f>
        <v>930</v>
      </c>
    </row>
    <row r="1081" spans="1:23" ht="36">
      <c r="A1081" s="147"/>
      <c r="B1081" s="134"/>
      <c r="C1081" s="147"/>
      <c r="D1081" s="148"/>
      <c r="E1081" s="16" t="s">
        <v>14</v>
      </c>
      <c r="F1081" s="16"/>
      <c r="G1081" s="16"/>
      <c r="H1081" s="16"/>
      <c r="I1081" s="30">
        <v>29000</v>
      </c>
      <c r="J1081" s="17"/>
      <c r="K1081" s="17"/>
      <c r="L1081" s="17">
        <v>2900</v>
      </c>
      <c r="M1081" s="17"/>
      <c r="N1081" s="17">
        <v>2900</v>
      </c>
      <c r="O1081" s="17">
        <v>2900</v>
      </c>
      <c r="P1081" s="17">
        <v>2900</v>
      </c>
      <c r="Q1081" s="17">
        <v>5800</v>
      </c>
      <c r="R1081" s="17">
        <v>2900</v>
      </c>
      <c r="S1081" s="17">
        <v>2900</v>
      </c>
      <c r="T1081" s="17">
        <v>2900</v>
      </c>
      <c r="U1081" s="17">
        <v>2900</v>
      </c>
      <c r="V1081" s="17">
        <f t="shared" si="120"/>
        <v>0</v>
      </c>
      <c r="W1081" s="17"/>
    </row>
    <row r="1082" spans="1:23" ht="65.25" customHeight="1">
      <c r="A1082" s="147"/>
      <c r="B1082" s="134"/>
      <c r="C1082" s="147"/>
      <c r="D1082" s="148"/>
      <c r="E1082" s="18" t="s">
        <v>15</v>
      </c>
      <c r="F1082" s="18"/>
      <c r="G1082" s="18"/>
      <c r="H1082" s="18"/>
      <c r="I1082" s="35">
        <f>SUM(I1083:I1086)</f>
        <v>367000</v>
      </c>
      <c r="J1082" s="35">
        <f aca="true" t="shared" si="124" ref="J1082:W1082">SUM(J1083:J1086)</f>
        <v>0</v>
      </c>
      <c r="K1082" s="35">
        <f t="shared" si="124"/>
        <v>0</v>
      </c>
      <c r="L1082" s="35">
        <f t="shared" si="124"/>
        <v>0</v>
      </c>
      <c r="M1082" s="35">
        <f t="shared" si="124"/>
        <v>220000</v>
      </c>
      <c r="N1082" s="35">
        <f t="shared" si="124"/>
        <v>96000</v>
      </c>
      <c r="O1082" s="35">
        <f t="shared" si="124"/>
        <v>30000</v>
      </c>
      <c r="P1082" s="35">
        <f t="shared" si="124"/>
        <v>21000</v>
      </c>
      <c r="Q1082" s="35">
        <f t="shared" si="124"/>
        <v>0</v>
      </c>
      <c r="R1082" s="35">
        <f t="shared" si="124"/>
        <v>0</v>
      </c>
      <c r="S1082" s="35">
        <f t="shared" si="124"/>
        <v>0</v>
      </c>
      <c r="T1082" s="35">
        <f t="shared" si="124"/>
        <v>0</v>
      </c>
      <c r="U1082" s="35">
        <f t="shared" si="124"/>
        <v>0</v>
      </c>
      <c r="V1082" s="35">
        <f t="shared" si="124"/>
        <v>0</v>
      </c>
      <c r="W1082" s="35">
        <f t="shared" si="124"/>
        <v>0</v>
      </c>
    </row>
    <row r="1083" spans="1:23" ht="54">
      <c r="A1083" s="147"/>
      <c r="B1083" s="134"/>
      <c r="C1083" s="147"/>
      <c r="D1083" s="148"/>
      <c r="E1083" s="16" t="s">
        <v>834</v>
      </c>
      <c r="F1083" s="16"/>
      <c r="G1083" s="16"/>
      <c r="H1083" s="16"/>
      <c r="I1083" s="30">
        <v>30000</v>
      </c>
      <c r="J1083" s="17"/>
      <c r="K1083" s="17"/>
      <c r="L1083" s="17"/>
      <c r="M1083" s="17"/>
      <c r="N1083" s="17"/>
      <c r="O1083" s="17">
        <v>30000</v>
      </c>
      <c r="P1083" s="17"/>
      <c r="Q1083" s="17"/>
      <c r="R1083" s="17"/>
      <c r="S1083" s="17"/>
      <c r="T1083" s="17"/>
      <c r="U1083" s="17"/>
      <c r="V1083" s="17">
        <f t="shared" si="120"/>
        <v>0</v>
      </c>
      <c r="W1083" s="17"/>
    </row>
    <row r="1084" spans="1:23" ht="72">
      <c r="A1084" s="147"/>
      <c r="B1084" s="134"/>
      <c r="C1084" s="147"/>
      <c r="D1084" s="148"/>
      <c r="E1084" s="16" t="s">
        <v>835</v>
      </c>
      <c r="F1084" s="16"/>
      <c r="G1084" s="16"/>
      <c r="H1084" s="16"/>
      <c r="I1084" s="30">
        <v>196000</v>
      </c>
      <c r="J1084" s="17"/>
      <c r="K1084" s="17"/>
      <c r="L1084" s="17"/>
      <c r="M1084" s="17">
        <v>196000</v>
      </c>
      <c r="N1084" s="17"/>
      <c r="O1084" s="17"/>
      <c r="P1084" s="17"/>
      <c r="Q1084" s="17"/>
      <c r="R1084" s="17"/>
      <c r="S1084" s="17"/>
      <c r="T1084" s="17"/>
      <c r="U1084" s="17"/>
      <c r="V1084" s="17">
        <f t="shared" si="120"/>
        <v>0</v>
      </c>
      <c r="W1084" s="17"/>
    </row>
    <row r="1085" spans="1:23" ht="123" customHeight="1">
      <c r="A1085" s="147"/>
      <c r="B1085" s="134"/>
      <c r="C1085" s="147"/>
      <c r="D1085" s="148"/>
      <c r="E1085" s="16" t="s">
        <v>104</v>
      </c>
      <c r="F1085" s="16"/>
      <c r="G1085" s="16"/>
      <c r="H1085" s="16"/>
      <c r="I1085" s="30">
        <v>96000</v>
      </c>
      <c r="J1085" s="17"/>
      <c r="K1085" s="17"/>
      <c r="L1085" s="17"/>
      <c r="M1085" s="17"/>
      <c r="N1085" s="17">
        <v>96000</v>
      </c>
      <c r="O1085" s="17"/>
      <c r="P1085" s="17"/>
      <c r="Q1085" s="17"/>
      <c r="R1085" s="17"/>
      <c r="S1085" s="17"/>
      <c r="T1085" s="17"/>
      <c r="U1085" s="17"/>
      <c r="V1085" s="17">
        <f t="shared" si="120"/>
        <v>0</v>
      </c>
      <c r="W1085" s="17"/>
    </row>
    <row r="1086" spans="1:23" ht="54">
      <c r="A1086" s="147"/>
      <c r="B1086" s="133"/>
      <c r="C1086" s="147"/>
      <c r="D1086" s="148"/>
      <c r="E1086" s="16" t="s">
        <v>105</v>
      </c>
      <c r="F1086" s="16"/>
      <c r="G1086" s="16"/>
      <c r="H1086" s="16"/>
      <c r="I1086" s="30">
        <v>45000</v>
      </c>
      <c r="J1086" s="17"/>
      <c r="K1086" s="17"/>
      <c r="L1086" s="17"/>
      <c r="M1086" s="17">
        <v>24000</v>
      </c>
      <c r="N1086" s="17"/>
      <c r="O1086" s="17"/>
      <c r="P1086" s="17">
        <v>21000</v>
      </c>
      <c r="Q1086" s="17"/>
      <c r="R1086" s="17"/>
      <c r="S1086" s="17"/>
      <c r="T1086" s="17"/>
      <c r="U1086" s="17"/>
      <c r="V1086" s="17">
        <f t="shared" si="120"/>
        <v>0</v>
      </c>
      <c r="W1086" s="17"/>
    </row>
    <row r="1087" spans="1:23" ht="34.5">
      <c r="A1087" s="173">
        <v>7300000</v>
      </c>
      <c r="B1087" s="126"/>
      <c r="C1087" s="126"/>
      <c r="D1087" s="165" t="s">
        <v>1005</v>
      </c>
      <c r="E1087" s="178"/>
      <c r="F1087" s="63"/>
      <c r="G1087" s="99"/>
      <c r="H1087" s="100"/>
      <c r="I1087" s="65">
        <f>I1088</f>
        <v>11528000</v>
      </c>
      <c r="J1087" s="65">
        <f aca="true" t="shared" si="125" ref="J1087:W1087">J1088</f>
        <v>0</v>
      </c>
      <c r="K1087" s="65">
        <f t="shared" si="125"/>
        <v>0</v>
      </c>
      <c r="L1087" s="65">
        <f t="shared" si="125"/>
        <v>2368000</v>
      </c>
      <c r="M1087" s="65">
        <f t="shared" si="125"/>
        <v>250000</v>
      </c>
      <c r="N1087" s="65">
        <f t="shared" si="125"/>
        <v>350000</v>
      </c>
      <c r="O1087" s="65">
        <f t="shared" si="125"/>
        <v>260000</v>
      </c>
      <c r="P1087" s="65">
        <f t="shared" si="125"/>
        <v>1250000</v>
      </c>
      <c r="Q1087" s="65">
        <f t="shared" si="125"/>
        <v>850000</v>
      </c>
      <c r="R1087" s="65">
        <f t="shared" si="125"/>
        <v>1000000</v>
      </c>
      <c r="S1087" s="65">
        <f t="shared" si="125"/>
        <v>1300000</v>
      </c>
      <c r="T1087" s="65">
        <f t="shared" si="125"/>
        <v>2000000</v>
      </c>
      <c r="U1087" s="65">
        <f t="shared" si="125"/>
        <v>1900000</v>
      </c>
      <c r="V1087" s="65">
        <f t="shared" si="125"/>
        <v>0</v>
      </c>
      <c r="W1087" s="65">
        <f t="shared" si="125"/>
        <v>703944.64</v>
      </c>
    </row>
    <row r="1088" spans="1:23" ht="34.5">
      <c r="A1088" s="173">
        <v>7310000</v>
      </c>
      <c r="B1088" s="126"/>
      <c r="C1088" s="126"/>
      <c r="D1088" s="165" t="s">
        <v>1005</v>
      </c>
      <c r="E1088" s="178"/>
      <c r="F1088" s="63"/>
      <c r="G1088" s="99"/>
      <c r="H1088" s="100"/>
      <c r="I1088" s="65">
        <f>I1089+I1094+I1096+I1104</f>
        <v>11528000</v>
      </c>
      <c r="J1088" s="65">
        <f aca="true" t="shared" si="126" ref="J1088:W1088">J1089+J1094+J1096+J1104</f>
        <v>0</v>
      </c>
      <c r="K1088" s="65">
        <f t="shared" si="126"/>
        <v>0</v>
      </c>
      <c r="L1088" s="65">
        <f t="shared" si="126"/>
        <v>2368000</v>
      </c>
      <c r="M1088" s="65">
        <f t="shared" si="126"/>
        <v>250000</v>
      </c>
      <c r="N1088" s="65">
        <f t="shared" si="126"/>
        <v>350000</v>
      </c>
      <c r="O1088" s="65">
        <f t="shared" si="126"/>
        <v>260000</v>
      </c>
      <c r="P1088" s="65">
        <f t="shared" si="126"/>
        <v>1250000</v>
      </c>
      <c r="Q1088" s="65">
        <f t="shared" si="126"/>
        <v>850000</v>
      </c>
      <c r="R1088" s="65">
        <f t="shared" si="126"/>
        <v>1000000</v>
      </c>
      <c r="S1088" s="65">
        <f t="shared" si="126"/>
        <v>1300000</v>
      </c>
      <c r="T1088" s="65">
        <f t="shared" si="126"/>
        <v>2000000</v>
      </c>
      <c r="U1088" s="65">
        <f t="shared" si="126"/>
        <v>1900000</v>
      </c>
      <c r="V1088" s="65">
        <f t="shared" si="126"/>
        <v>0</v>
      </c>
      <c r="W1088" s="65">
        <f t="shared" si="126"/>
        <v>703944.64</v>
      </c>
    </row>
    <row r="1089" spans="1:23" ht="18">
      <c r="A1089" s="132" t="s">
        <v>403</v>
      </c>
      <c r="B1089" s="132" t="s">
        <v>677</v>
      </c>
      <c r="C1089" s="136" t="s">
        <v>676</v>
      </c>
      <c r="D1089" s="145" t="s">
        <v>868</v>
      </c>
      <c r="E1089" s="12"/>
      <c r="F1089" s="12"/>
      <c r="G1089" s="12"/>
      <c r="H1089" s="12"/>
      <c r="I1089" s="65">
        <f>SUM(I1090:I1093)</f>
        <v>385000</v>
      </c>
      <c r="J1089" s="65">
        <f aca="true" t="shared" si="127" ref="J1089:W1089">SUM(J1090:J1093)</f>
        <v>0</v>
      </c>
      <c r="K1089" s="65">
        <f t="shared" si="127"/>
        <v>0</v>
      </c>
      <c r="L1089" s="65">
        <f t="shared" si="127"/>
        <v>385000</v>
      </c>
      <c r="M1089" s="65">
        <f t="shared" si="127"/>
        <v>0</v>
      </c>
      <c r="N1089" s="65">
        <f t="shared" si="127"/>
        <v>0</v>
      </c>
      <c r="O1089" s="65">
        <f t="shared" si="127"/>
        <v>0</v>
      </c>
      <c r="P1089" s="65">
        <f t="shared" si="127"/>
        <v>0</v>
      </c>
      <c r="Q1089" s="65">
        <f t="shared" si="127"/>
        <v>0</v>
      </c>
      <c r="R1089" s="65">
        <f t="shared" si="127"/>
        <v>0</v>
      </c>
      <c r="S1089" s="65">
        <f t="shared" si="127"/>
        <v>0</v>
      </c>
      <c r="T1089" s="65">
        <f t="shared" si="127"/>
        <v>0</v>
      </c>
      <c r="U1089" s="65">
        <f t="shared" si="127"/>
        <v>0</v>
      </c>
      <c r="V1089" s="65">
        <f t="shared" si="127"/>
        <v>0</v>
      </c>
      <c r="W1089" s="65">
        <f t="shared" si="127"/>
        <v>78924.78</v>
      </c>
    </row>
    <row r="1090" spans="1:23" ht="36">
      <c r="A1090" s="134"/>
      <c r="B1090" s="134"/>
      <c r="C1090" s="138"/>
      <c r="D1090" s="146"/>
      <c r="E1090" s="12" t="s">
        <v>741</v>
      </c>
      <c r="F1090" s="12"/>
      <c r="G1090" s="12"/>
      <c r="H1090" s="12"/>
      <c r="I1090" s="63">
        <v>200000</v>
      </c>
      <c r="J1090" s="17"/>
      <c r="K1090" s="17"/>
      <c r="L1090" s="17">
        <v>200000</v>
      </c>
      <c r="M1090" s="17"/>
      <c r="N1090" s="17"/>
      <c r="O1090" s="17"/>
      <c r="P1090" s="17"/>
      <c r="Q1090" s="17"/>
      <c r="R1090" s="17"/>
      <c r="S1090" s="17"/>
      <c r="T1090" s="17"/>
      <c r="U1090" s="17"/>
      <c r="V1090" s="17">
        <f t="shared" si="120"/>
        <v>0</v>
      </c>
      <c r="W1090" s="17"/>
    </row>
    <row r="1091" spans="1:23" ht="36">
      <c r="A1091" s="134"/>
      <c r="B1091" s="134"/>
      <c r="C1091" s="138"/>
      <c r="D1091" s="146"/>
      <c r="E1091" s="12" t="s">
        <v>106</v>
      </c>
      <c r="F1091" s="12"/>
      <c r="G1091" s="12"/>
      <c r="H1091" s="12"/>
      <c r="I1091" s="63">
        <v>65000</v>
      </c>
      <c r="J1091" s="17"/>
      <c r="K1091" s="17"/>
      <c r="L1091" s="17">
        <v>65000</v>
      </c>
      <c r="M1091" s="17"/>
      <c r="N1091" s="17"/>
      <c r="O1091" s="17"/>
      <c r="P1091" s="17"/>
      <c r="Q1091" s="17"/>
      <c r="R1091" s="17"/>
      <c r="S1091" s="17"/>
      <c r="T1091" s="17"/>
      <c r="U1091" s="17"/>
      <c r="V1091" s="17">
        <f t="shared" si="120"/>
        <v>0</v>
      </c>
      <c r="W1091" s="17"/>
    </row>
    <row r="1092" spans="1:23" ht="18">
      <c r="A1092" s="134"/>
      <c r="B1092" s="134"/>
      <c r="C1092" s="138"/>
      <c r="D1092" s="146"/>
      <c r="E1092" s="12" t="s">
        <v>107</v>
      </c>
      <c r="F1092" s="12"/>
      <c r="G1092" s="12"/>
      <c r="H1092" s="12"/>
      <c r="I1092" s="63">
        <v>40000</v>
      </c>
      <c r="J1092" s="17"/>
      <c r="K1092" s="17"/>
      <c r="L1092" s="17">
        <v>40000</v>
      </c>
      <c r="M1092" s="17"/>
      <c r="N1092" s="17"/>
      <c r="O1092" s="17"/>
      <c r="P1092" s="17"/>
      <c r="Q1092" s="17"/>
      <c r="R1092" s="17"/>
      <c r="S1092" s="17"/>
      <c r="T1092" s="17"/>
      <c r="U1092" s="17"/>
      <c r="V1092" s="17">
        <f t="shared" si="120"/>
        <v>0</v>
      </c>
      <c r="W1092" s="17"/>
    </row>
    <row r="1093" spans="1:23" ht="36">
      <c r="A1093" s="134"/>
      <c r="B1093" s="133"/>
      <c r="C1093" s="138"/>
      <c r="D1093" s="146"/>
      <c r="E1093" s="12" t="s">
        <v>108</v>
      </c>
      <c r="F1093" s="12"/>
      <c r="G1093" s="12"/>
      <c r="H1093" s="12"/>
      <c r="I1093" s="63">
        <v>80000</v>
      </c>
      <c r="J1093" s="17"/>
      <c r="K1093" s="17"/>
      <c r="L1093" s="17">
        <v>80000</v>
      </c>
      <c r="M1093" s="17"/>
      <c r="N1093" s="17"/>
      <c r="O1093" s="17"/>
      <c r="P1093" s="17"/>
      <c r="Q1093" s="17"/>
      <c r="R1093" s="17"/>
      <c r="S1093" s="17"/>
      <c r="T1093" s="17"/>
      <c r="U1093" s="17"/>
      <c r="V1093" s="17">
        <f t="shared" si="120"/>
        <v>0</v>
      </c>
      <c r="W1093" s="17">
        <v>78924.78</v>
      </c>
    </row>
    <row r="1094" spans="1:23" ht="18">
      <c r="A1094" s="132" t="s">
        <v>945</v>
      </c>
      <c r="B1094" s="132" t="s">
        <v>985</v>
      </c>
      <c r="C1094" s="136" t="s">
        <v>480</v>
      </c>
      <c r="D1094" s="145" t="s">
        <v>231</v>
      </c>
      <c r="E1094" s="12"/>
      <c r="F1094" s="12"/>
      <c r="G1094" s="12"/>
      <c r="H1094" s="12"/>
      <c r="I1094" s="65">
        <f>I1095</f>
        <v>320000</v>
      </c>
      <c r="J1094" s="65">
        <f aca="true" t="shared" si="128" ref="J1094:W1094">J1095</f>
        <v>0</v>
      </c>
      <c r="K1094" s="65">
        <f t="shared" si="128"/>
        <v>0</v>
      </c>
      <c r="L1094" s="65">
        <f t="shared" si="128"/>
        <v>0</v>
      </c>
      <c r="M1094" s="65">
        <f t="shared" si="128"/>
        <v>0</v>
      </c>
      <c r="N1094" s="65">
        <f t="shared" si="128"/>
        <v>0</v>
      </c>
      <c r="O1094" s="65">
        <f t="shared" si="128"/>
        <v>60000</v>
      </c>
      <c r="P1094" s="65">
        <f t="shared" si="128"/>
        <v>0</v>
      </c>
      <c r="Q1094" s="65">
        <f t="shared" si="128"/>
        <v>90000</v>
      </c>
      <c r="R1094" s="65">
        <f t="shared" si="128"/>
        <v>170000</v>
      </c>
      <c r="S1094" s="65">
        <f t="shared" si="128"/>
        <v>0</v>
      </c>
      <c r="T1094" s="65">
        <f t="shared" si="128"/>
        <v>0</v>
      </c>
      <c r="U1094" s="65">
        <f t="shared" si="128"/>
        <v>0</v>
      </c>
      <c r="V1094" s="65">
        <f t="shared" si="128"/>
        <v>0</v>
      </c>
      <c r="W1094" s="65">
        <f t="shared" si="128"/>
        <v>0</v>
      </c>
    </row>
    <row r="1095" spans="1:23" ht="84" customHeight="1">
      <c r="A1095" s="133"/>
      <c r="B1095" s="133"/>
      <c r="C1095" s="137"/>
      <c r="D1095" s="135"/>
      <c r="E1095" s="12" t="s">
        <v>109</v>
      </c>
      <c r="F1095" s="84">
        <f>I1095</f>
        <v>320000</v>
      </c>
      <c r="G1095" s="83">
        <v>1</v>
      </c>
      <c r="H1095" s="84">
        <f>I1095</f>
        <v>320000</v>
      </c>
      <c r="I1095" s="63">
        <f>920000-600000</f>
        <v>320000</v>
      </c>
      <c r="J1095" s="17"/>
      <c r="K1095" s="17"/>
      <c r="L1095" s="17"/>
      <c r="M1095" s="17"/>
      <c r="N1095" s="17"/>
      <c r="O1095" s="17">
        <v>60000</v>
      </c>
      <c r="P1095" s="17">
        <f>350000-350000</f>
        <v>0</v>
      </c>
      <c r="Q1095" s="17">
        <f>400000-250000-60000</f>
        <v>90000</v>
      </c>
      <c r="R1095" s="17">
        <v>170000</v>
      </c>
      <c r="S1095" s="17"/>
      <c r="T1095" s="17"/>
      <c r="U1095" s="17"/>
      <c r="V1095" s="17">
        <f t="shared" si="120"/>
        <v>0</v>
      </c>
      <c r="W1095" s="17"/>
    </row>
    <row r="1096" spans="1:23" ht="18">
      <c r="A1096" s="132" t="s">
        <v>946</v>
      </c>
      <c r="B1096" s="132" t="s">
        <v>270</v>
      </c>
      <c r="C1096" s="132" t="s">
        <v>480</v>
      </c>
      <c r="D1096" s="145" t="s">
        <v>983</v>
      </c>
      <c r="E1096" s="12"/>
      <c r="F1096" s="12"/>
      <c r="G1096" s="12"/>
      <c r="H1096" s="12"/>
      <c r="I1096" s="65">
        <f>I1097</f>
        <v>5623000</v>
      </c>
      <c r="J1096" s="65">
        <f aca="true" t="shared" si="129" ref="J1096:W1096">J1097</f>
        <v>0</v>
      </c>
      <c r="K1096" s="65">
        <f t="shared" si="129"/>
        <v>0</v>
      </c>
      <c r="L1096" s="65">
        <f t="shared" si="129"/>
        <v>790000</v>
      </c>
      <c r="M1096" s="65">
        <f t="shared" si="129"/>
        <v>0</v>
      </c>
      <c r="N1096" s="65">
        <f t="shared" si="129"/>
        <v>0</v>
      </c>
      <c r="O1096" s="65">
        <f t="shared" si="129"/>
        <v>0</v>
      </c>
      <c r="P1096" s="65">
        <f t="shared" si="129"/>
        <v>920000</v>
      </c>
      <c r="Q1096" s="65">
        <f t="shared" si="129"/>
        <v>500000</v>
      </c>
      <c r="R1096" s="65">
        <f t="shared" si="129"/>
        <v>830000</v>
      </c>
      <c r="S1096" s="65">
        <f t="shared" si="129"/>
        <v>500000</v>
      </c>
      <c r="T1096" s="65">
        <f t="shared" si="129"/>
        <v>583000</v>
      </c>
      <c r="U1096" s="65">
        <f t="shared" si="129"/>
        <v>1500000</v>
      </c>
      <c r="V1096" s="65">
        <f t="shared" si="129"/>
        <v>0</v>
      </c>
      <c r="W1096" s="65">
        <f t="shared" si="129"/>
        <v>0</v>
      </c>
    </row>
    <row r="1097" spans="1:23" ht="41.25" customHeight="1">
      <c r="A1097" s="134"/>
      <c r="B1097" s="134"/>
      <c r="C1097" s="134"/>
      <c r="D1097" s="146"/>
      <c r="E1097" s="18" t="s">
        <v>110</v>
      </c>
      <c r="F1097" s="18"/>
      <c r="G1097" s="18"/>
      <c r="H1097" s="18"/>
      <c r="I1097" s="19">
        <f>SUM(I1098:I1103)</f>
        <v>5623000</v>
      </c>
      <c r="J1097" s="19">
        <f aca="true" t="shared" si="130" ref="J1097:W1097">SUM(J1098:J1103)</f>
        <v>0</v>
      </c>
      <c r="K1097" s="19">
        <f t="shared" si="130"/>
        <v>0</v>
      </c>
      <c r="L1097" s="19">
        <f t="shared" si="130"/>
        <v>790000</v>
      </c>
      <c r="M1097" s="19">
        <f t="shared" si="130"/>
        <v>0</v>
      </c>
      <c r="N1097" s="19">
        <f t="shared" si="130"/>
        <v>0</v>
      </c>
      <c r="O1097" s="19">
        <f t="shared" si="130"/>
        <v>0</v>
      </c>
      <c r="P1097" s="19">
        <f t="shared" si="130"/>
        <v>920000</v>
      </c>
      <c r="Q1097" s="19">
        <f t="shared" si="130"/>
        <v>500000</v>
      </c>
      <c r="R1097" s="19">
        <f t="shared" si="130"/>
        <v>830000</v>
      </c>
      <c r="S1097" s="19">
        <f t="shared" si="130"/>
        <v>500000</v>
      </c>
      <c r="T1097" s="19">
        <f t="shared" si="130"/>
        <v>583000</v>
      </c>
      <c r="U1097" s="19">
        <f t="shared" si="130"/>
        <v>1500000</v>
      </c>
      <c r="V1097" s="19">
        <f t="shared" si="130"/>
        <v>0</v>
      </c>
      <c r="W1097" s="19">
        <f t="shared" si="130"/>
        <v>0</v>
      </c>
    </row>
    <row r="1098" spans="1:23" ht="54">
      <c r="A1098" s="134"/>
      <c r="B1098" s="134"/>
      <c r="C1098" s="134"/>
      <c r="D1098" s="146"/>
      <c r="E1098" s="12" t="s">
        <v>1071</v>
      </c>
      <c r="F1098" s="12"/>
      <c r="G1098" s="12"/>
      <c r="H1098" s="12"/>
      <c r="I1098" s="63">
        <v>2755000</v>
      </c>
      <c r="J1098" s="17"/>
      <c r="K1098" s="17"/>
      <c r="L1098" s="17"/>
      <c r="M1098" s="17"/>
      <c r="N1098" s="17"/>
      <c r="O1098" s="17"/>
      <c r="P1098" s="17">
        <v>460000</v>
      </c>
      <c r="Q1098" s="17">
        <v>500000</v>
      </c>
      <c r="R1098" s="17">
        <v>500000</v>
      </c>
      <c r="S1098" s="17"/>
      <c r="T1098" s="17"/>
      <c r="U1098" s="17">
        <v>1295000</v>
      </c>
      <c r="V1098" s="17">
        <f t="shared" si="120"/>
        <v>0</v>
      </c>
      <c r="W1098" s="17"/>
    </row>
    <row r="1099" spans="1:23" ht="36">
      <c r="A1099" s="134"/>
      <c r="B1099" s="134"/>
      <c r="C1099" s="134"/>
      <c r="D1099" s="146"/>
      <c r="E1099" s="12" t="s">
        <v>456</v>
      </c>
      <c r="F1099" s="12"/>
      <c r="G1099" s="12"/>
      <c r="H1099" s="12"/>
      <c r="I1099" s="63">
        <v>140000</v>
      </c>
      <c r="J1099" s="17"/>
      <c r="K1099" s="17"/>
      <c r="L1099" s="17">
        <v>140000</v>
      </c>
      <c r="M1099" s="17"/>
      <c r="N1099" s="17"/>
      <c r="O1099" s="17"/>
      <c r="P1099" s="17"/>
      <c r="Q1099" s="17"/>
      <c r="R1099" s="17"/>
      <c r="S1099" s="17"/>
      <c r="T1099" s="17"/>
      <c r="U1099" s="17"/>
      <c r="V1099" s="17">
        <f t="shared" si="120"/>
        <v>0</v>
      </c>
      <c r="W1099" s="17"/>
    </row>
    <row r="1100" spans="1:23" ht="18">
      <c r="A1100" s="134"/>
      <c r="B1100" s="134"/>
      <c r="C1100" s="134"/>
      <c r="D1100" s="146"/>
      <c r="E1100" s="12" t="s">
        <v>421</v>
      </c>
      <c r="F1100" s="12"/>
      <c r="G1100" s="12"/>
      <c r="H1100" s="12"/>
      <c r="I1100" s="63">
        <v>150000</v>
      </c>
      <c r="J1100" s="17"/>
      <c r="K1100" s="17"/>
      <c r="L1100" s="17">
        <v>150000</v>
      </c>
      <c r="M1100" s="17"/>
      <c r="N1100" s="17"/>
      <c r="O1100" s="17"/>
      <c r="P1100" s="17"/>
      <c r="Q1100" s="17"/>
      <c r="R1100" s="17"/>
      <c r="S1100" s="17"/>
      <c r="T1100" s="17"/>
      <c r="U1100" s="17"/>
      <c r="V1100" s="17">
        <f t="shared" si="120"/>
        <v>0</v>
      </c>
      <c r="W1100" s="17"/>
    </row>
    <row r="1101" spans="1:23" ht="64.5" customHeight="1">
      <c r="A1101" s="134"/>
      <c r="B1101" s="134"/>
      <c r="C1101" s="134"/>
      <c r="D1101" s="146"/>
      <c r="E1101" s="12" t="s">
        <v>1074</v>
      </c>
      <c r="F1101" s="12"/>
      <c r="G1101" s="12"/>
      <c r="H1101" s="12"/>
      <c r="I1101" s="64">
        <v>1728000</v>
      </c>
      <c r="J1101" s="17"/>
      <c r="K1101" s="17"/>
      <c r="L1101" s="17"/>
      <c r="M1101" s="17"/>
      <c r="N1101" s="17"/>
      <c r="O1101" s="17"/>
      <c r="P1101" s="17">
        <v>460000</v>
      </c>
      <c r="Q1101" s="17"/>
      <c r="R1101" s="17">
        <v>330000</v>
      </c>
      <c r="S1101" s="17">
        <v>500000</v>
      </c>
      <c r="T1101" s="17">
        <v>233000</v>
      </c>
      <c r="U1101" s="17">
        <v>205000</v>
      </c>
      <c r="V1101" s="17">
        <f t="shared" si="120"/>
        <v>0</v>
      </c>
      <c r="W1101" s="17"/>
    </row>
    <row r="1102" spans="1:23" ht="36">
      <c r="A1102" s="134"/>
      <c r="B1102" s="134"/>
      <c r="C1102" s="134"/>
      <c r="D1102" s="146"/>
      <c r="E1102" s="12" t="s">
        <v>422</v>
      </c>
      <c r="F1102" s="12"/>
      <c r="G1102" s="12"/>
      <c r="H1102" s="12"/>
      <c r="I1102" s="63">
        <v>750000</v>
      </c>
      <c r="J1102" s="17"/>
      <c r="K1102" s="17"/>
      <c r="L1102" s="17">
        <v>400000</v>
      </c>
      <c r="M1102" s="17"/>
      <c r="N1102" s="17"/>
      <c r="O1102" s="17"/>
      <c r="P1102" s="17"/>
      <c r="Q1102" s="17"/>
      <c r="R1102" s="17"/>
      <c r="S1102" s="17"/>
      <c r="T1102" s="17">
        <v>350000</v>
      </c>
      <c r="U1102" s="17"/>
      <c r="V1102" s="17">
        <f t="shared" si="120"/>
        <v>0</v>
      </c>
      <c r="W1102" s="17"/>
    </row>
    <row r="1103" spans="1:23" ht="18">
      <c r="A1103" s="133"/>
      <c r="B1103" s="133"/>
      <c r="C1103" s="133"/>
      <c r="D1103" s="135"/>
      <c r="E1103" s="12" t="s">
        <v>423</v>
      </c>
      <c r="F1103" s="12"/>
      <c r="G1103" s="12"/>
      <c r="H1103" s="12"/>
      <c r="I1103" s="63">
        <v>100000</v>
      </c>
      <c r="J1103" s="17"/>
      <c r="K1103" s="17"/>
      <c r="L1103" s="17">
        <v>100000</v>
      </c>
      <c r="M1103" s="17"/>
      <c r="N1103" s="17"/>
      <c r="O1103" s="17"/>
      <c r="P1103" s="17"/>
      <c r="Q1103" s="17"/>
      <c r="R1103" s="17"/>
      <c r="S1103" s="17"/>
      <c r="T1103" s="17"/>
      <c r="U1103" s="17"/>
      <c r="V1103" s="17">
        <f t="shared" si="120"/>
        <v>0</v>
      </c>
      <c r="W1103" s="17"/>
    </row>
    <row r="1104" spans="1:23" ht="18">
      <c r="A1104" s="147" t="s">
        <v>565</v>
      </c>
      <c r="B1104" s="132" t="s">
        <v>197</v>
      </c>
      <c r="C1104" s="147" t="s">
        <v>678</v>
      </c>
      <c r="D1104" s="148" t="s">
        <v>679</v>
      </c>
      <c r="E1104" s="12"/>
      <c r="F1104" s="12"/>
      <c r="G1104" s="12"/>
      <c r="H1104" s="12"/>
      <c r="I1104" s="65">
        <f>SUM(I1105:I1119)</f>
        <v>5200000</v>
      </c>
      <c r="J1104" s="65">
        <f aca="true" t="shared" si="131" ref="J1104:W1104">SUM(J1105:J1119)</f>
        <v>0</v>
      </c>
      <c r="K1104" s="65">
        <f t="shared" si="131"/>
        <v>0</v>
      </c>
      <c r="L1104" s="65">
        <f t="shared" si="131"/>
        <v>1193000</v>
      </c>
      <c r="M1104" s="65">
        <f t="shared" si="131"/>
        <v>250000</v>
      </c>
      <c r="N1104" s="65">
        <f t="shared" si="131"/>
        <v>350000</v>
      </c>
      <c r="O1104" s="65">
        <f t="shared" si="131"/>
        <v>200000</v>
      </c>
      <c r="P1104" s="65">
        <f t="shared" si="131"/>
        <v>330000</v>
      </c>
      <c r="Q1104" s="65">
        <f t="shared" si="131"/>
        <v>260000</v>
      </c>
      <c r="R1104" s="65">
        <f t="shared" si="131"/>
        <v>0</v>
      </c>
      <c r="S1104" s="65">
        <f t="shared" si="131"/>
        <v>800000</v>
      </c>
      <c r="T1104" s="65">
        <f t="shared" si="131"/>
        <v>1417000</v>
      </c>
      <c r="U1104" s="65">
        <f t="shared" si="131"/>
        <v>400000</v>
      </c>
      <c r="V1104" s="65">
        <f t="shared" si="131"/>
        <v>0</v>
      </c>
      <c r="W1104" s="65">
        <f t="shared" si="131"/>
        <v>625019.86</v>
      </c>
    </row>
    <row r="1105" spans="1:23" ht="120.75" customHeight="1">
      <c r="A1105" s="147"/>
      <c r="B1105" s="134"/>
      <c r="C1105" s="147"/>
      <c r="D1105" s="148"/>
      <c r="E1105" s="12" t="s">
        <v>424</v>
      </c>
      <c r="F1105" s="84">
        <f>I1105</f>
        <v>200000</v>
      </c>
      <c r="G1105" s="83">
        <v>1</v>
      </c>
      <c r="H1105" s="84">
        <f aca="true" t="shared" si="132" ref="H1105:H1119">I1105</f>
        <v>200000</v>
      </c>
      <c r="I1105" s="63">
        <f>5000000-4000000-200000-600000</f>
        <v>200000</v>
      </c>
      <c r="J1105" s="17"/>
      <c r="K1105" s="17"/>
      <c r="L1105" s="17"/>
      <c r="M1105" s="17"/>
      <c r="N1105" s="17"/>
      <c r="O1105" s="17"/>
      <c r="P1105" s="17"/>
      <c r="Q1105" s="17">
        <f>500000-200000-300000</f>
        <v>0</v>
      </c>
      <c r="R1105" s="17"/>
      <c r="S1105" s="17"/>
      <c r="T1105" s="17"/>
      <c r="U1105" s="17">
        <f>500000-300000</f>
        <v>200000</v>
      </c>
      <c r="V1105" s="17">
        <f t="shared" si="120"/>
        <v>0</v>
      </c>
      <c r="W1105" s="17"/>
    </row>
    <row r="1106" spans="1:23" ht="54">
      <c r="A1106" s="147"/>
      <c r="B1106" s="134"/>
      <c r="C1106" s="147"/>
      <c r="D1106" s="148"/>
      <c r="E1106" s="39" t="s">
        <v>1114</v>
      </c>
      <c r="F1106" s="84">
        <f aca="true" t="shared" si="133" ref="F1106:F1119">I1106</f>
        <v>400000</v>
      </c>
      <c r="G1106" s="83">
        <v>1</v>
      </c>
      <c r="H1106" s="84">
        <f t="shared" si="132"/>
        <v>400000</v>
      </c>
      <c r="I1106" s="30">
        <v>400000</v>
      </c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>
        <v>200000</v>
      </c>
      <c r="U1106" s="17">
        <v>200000</v>
      </c>
      <c r="V1106" s="17">
        <f t="shared" si="120"/>
        <v>0</v>
      </c>
      <c r="W1106" s="17"/>
    </row>
    <row r="1107" spans="1:23" ht="54">
      <c r="A1107" s="147"/>
      <c r="B1107" s="134"/>
      <c r="C1107" s="147"/>
      <c r="D1107" s="148"/>
      <c r="E1107" s="12" t="s">
        <v>1115</v>
      </c>
      <c r="F1107" s="84">
        <f t="shared" si="133"/>
        <v>500000</v>
      </c>
      <c r="G1107" s="83">
        <v>1</v>
      </c>
      <c r="H1107" s="84">
        <f t="shared" si="132"/>
        <v>500000</v>
      </c>
      <c r="I1107" s="63">
        <v>500000</v>
      </c>
      <c r="J1107" s="17"/>
      <c r="K1107" s="17"/>
      <c r="L1107" s="17">
        <v>500000</v>
      </c>
      <c r="M1107" s="17"/>
      <c r="N1107" s="17"/>
      <c r="O1107" s="17">
        <v>-232000</v>
      </c>
      <c r="P1107" s="17"/>
      <c r="Q1107" s="17">
        <v>50000</v>
      </c>
      <c r="R1107" s="17"/>
      <c r="S1107" s="17">
        <v>182000</v>
      </c>
      <c r="T1107" s="17"/>
      <c r="U1107" s="17"/>
      <c r="V1107" s="17">
        <f t="shared" si="120"/>
        <v>0</v>
      </c>
      <c r="W1107" s="17">
        <v>3000</v>
      </c>
    </row>
    <row r="1108" spans="1:23" ht="36">
      <c r="A1108" s="147"/>
      <c r="B1108" s="134"/>
      <c r="C1108" s="147"/>
      <c r="D1108" s="148"/>
      <c r="E1108" s="12" t="s">
        <v>55</v>
      </c>
      <c r="F1108" s="84">
        <f t="shared" si="133"/>
        <v>900000</v>
      </c>
      <c r="G1108" s="83">
        <v>1</v>
      </c>
      <c r="H1108" s="84">
        <f t="shared" si="132"/>
        <v>900000</v>
      </c>
      <c r="I1108" s="63">
        <v>900000</v>
      </c>
      <c r="J1108" s="17"/>
      <c r="K1108" s="17"/>
      <c r="L1108" s="17"/>
      <c r="M1108" s="17">
        <v>200000</v>
      </c>
      <c r="N1108" s="17">
        <v>350000</v>
      </c>
      <c r="O1108" s="17">
        <v>-210000</v>
      </c>
      <c r="P1108" s="17"/>
      <c r="Q1108" s="17"/>
      <c r="R1108" s="17"/>
      <c r="S1108" s="17">
        <v>210000</v>
      </c>
      <c r="T1108" s="17">
        <v>350000</v>
      </c>
      <c r="U1108" s="17"/>
      <c r="V1108" s="17">
        <f t="shared" si="120"/>
        <v>0</v>
      </c>
      <c r="W1108" s="17"/>
    </row>
    <row r="1109" spans="1:23" ht="54">
      <c r="A1109" s="147"/>
      <c r="B1109" s="134"/>
      <c r="C1109" s="147"/>
      <c r="D1109" s="148"/>
      <c r="E1109" s="12" t="s">
        <v>379</v>
      </c>
      <c r="F1109" s="84">
        <f t="shared" si="133"/>
        <v>550000</v>
      </c>
      <c r="G1109" s="83">
        <v>1</v>
      </c>
      <c r="H1109" s="84">
        <f t="shared" si="132"/>
        <v>550000</v>
      </c>
      <c r="I1109" s="63">
        <v>550000</v>
      </c>
      <c r="J1109" s="17"/>
      <c r="K1109" s="17"/>
      <c r="L1109" s="17">
        <v>400000</v>
      </c>
      <c r="M1109" s="17">
        <v>50000</v>
      </c>
      <c r="N1109" s="17"/>
      <c r="O1109" s="17"/>
      <c r="P1109" s="17">
        <v>100000</v>
      </c>
      <c r="Q1109" s="17"/>
      <c r="R1109" s="17"/>
      <c r="S1109" s="17"/>
      <c r="T1109" s="17"/>
      <c r="U1109" s="17"/>
      <c r="V1109" s="17">
        <f t="shared" si="120"/>
        <v>0</v>
      </c>
      <c r="W1109" s="17"/>
    </row>
    <row r="1110" spans="1:23" ht="54">
      <c r="A1110" s="147"/>
      <c r="B1110" s="134"/>
      <c r="C1110" s="147"/>
      <c r="D1110" s="148"/>
      <c r="E1110" s="12" t="s">
        <v>387</v>
      </c>
      <c r="F1110" s="84">
        <f t="shared" si="133"/>
        <v>500000</v>
      </c>
      <c r="G1110" s="83">
        <v>1</v>
      </c>
      <c r="H1110" s="84">
        <f t="shared" si="132"/>
        <v>500000</v>
      </c>
      <c r="I1110" s="63">
        <v>500000</v>
      </c>
      <c r="J1110" s="17"/>
      <c r="K1110" s="17"/>
      <c r="L1110" s="17">
        <v>193000</v>
      </c>
      <c r="M1110" s="17"/>
      <c r="N1110" s="17"/>
      <c r="O1110" s="17">
        <v>-193000</v>
      </c>
      <c r="P1110" s="17"/>
      <c r="Q1110" s="17"/>
      <c r="R1110" s="17"/>
      <c r="S1110" s="17">
        <v>193000</v>
      </c>
      <c r="T1110" s="17">
        <v>307000</v>
      </c>
      <c r="U1110" s="17"/>
      <c r="V1110" s="17">
        <f t="shared" si="120"/>
        <v>0</v>
      </c>
      <c r="W1110" s="17"/>
    </row>
    <row r="1111" spans="1:23" ht="36">
      <c r="A1111" s="147"/>
      <c r="B1111" s="134"/>
      <c r="C1111" s="147"/>
      <c r="D1111" s="148"/>
      <c r="E1111" s="12" t="s">
        <v>388</v>
      </c>
      <c r="F1111" s="84">
        <f t="shared" si="133"/>
        <v>100000</v>
      </c>
      <c r="G1111" s="83">
        <v>1</v>
      </c>
      <c r="H1111" s="84">
        <f t="shared" si="132"/>
        <v>100000</v>
      </c>
      <c r="I1111" s="63">
        <v>100000</v>
      </c>
      <c r="J1111" s="17"/>
      <c r="K1111" s="17"/>
      <c r="L1111" s="17"/>
      <c r="M1111" s="17"/>
      <c r="N1111" s="17"/>
      <c r="O1111" s="17"/>
      <c r="P1111" s="17">
        <v>100000</v>
      </c>
      <c r="Q1111" s="17"/>
      <c r="R1111" s="17"/>
      <c r="S1111" s="17"/>
      <c r="T1111" s="17"/>
      <c r="U1111" s="17"/>
      <c r="V1111" s="17">
        <f t="shared" si="120"/>
        <v>0</v>
      </c>
      <c r="W1111" s="17"/>
    </row>
    <row r="1112" spans="1:23" ht="54">
      <c r="A1112" s="147"/>
      <c r="B1112" s="134"/>
      <c r="C1112" s="147"/>
      <c r="D1112" s="148"/>
      <c r="E1112" s="12" t="s">
        <v>389</v>
      </c>
      <c r="F1112" s="84">
        <f t="shared" si="133"/>
        <v>650000</v>
      </c>
      <c r="G1112" s="83">
        <v>1</v>
      </c>
      <c r="H1112" s="84">
        <f t="shared" si="132"/>
        <v>650000</v>
      </c>
      <c r="I1112" s="63">
        <v>650000</v>
      </c>
      <c r="J1112" s="17"/>
      <c r="K1112" s="17"/>
      <c r="L1112" s="17"/>
      <c r="M1112" s="17"/>
      <c r="N1112" s="17"/>
      <c r="O1112" s="17">
        <v>235000</v>
      </c>
      <c r="P1112" s="17"/>
      <c r="Q1112" s="17"/>
      <c r="R1112" s="17"/>
      <c r="S1112" s="17">
        <f>300000-235000</f>
        <v>65000</v>
      </c>
      <c r="T1112" s="17">
        <v>350000</v>
      </c>
      <c r="U1112" s="17"/>
      <c r="V1112" s="17">
        <f t="shared" si="120"/>
        <v>0</v>
      </c>
      <c r="W1112" s="17">
        <f>1231.2+225767.4</f>
        <v>226998.6</v>
      </c>
    </row>
    <row r="1113" spans="1:23" ht="54">
      <c r="A1113" s="147"/>
      <c r="B1113" s="134"/>
      <c r="C1113" s="147"/>
      <c r="D1113" s="148"/>
      <c r="E1113" s="12" t="s">
        <v>390</v>
      </c>
      <c r="F1113" s="84">
        <f t="shared" si="133"/>
        <v>400000</v>
      </c>
      <c r="G1113" s="83">
        <v>1</v>
      </c>
      <c r="H1113" s="84">
        <f t="shared" si="132"/>
        <v>400000</v>
      </c>
      <c r="I1113" s="63">
        <f>500000-100000</f>
        <v>400000</v>
      </c>
      <c r="J1113" s="17"/>
      <c r="K1113" s="17"/>
      <c r="L1113" s="17"/>
      <c r="M1113" s="17"/>
      <c r="N1113" s="17"/>
      <c r="O1113" s="17">
        <v>260000</v>
      </c>
      <c r="P1113" s="17">
        <v>100000</v>
      </c>
      <c r="Q1113" s="17"/>
      <c r="R1113" s="17"/>
      <c r="S1113" s="17">
        <f>140000-100000</f>
        <v>40000</v>
      </c>
      <c r="T1113" s="17"/>
      <c r="U1113" s="17"/>
      <c r="V1113" s="17">
        <f t="shared" si="120"/>
        <v>0</v>
      </c>
      <c r="W1113" s="17"/>
    </row>
    <row r="1114" spans="1:23" ht="60.75" customHeight="1">
      <c r="A1114" s="147"/>
      <c r="B1114" s="134"/>
      <c r="C1114" s="147"/>
      <c r="D1114" s="148"/>
      <c r="E1114" s="12" t="s">
        <v>973</v>
      </c>
      <c r="F1114" s="84">
        <f t="shared" si="133"/>
        <v>100000</v>
      </c>
      <c r="G1114" s="83">
        <v>1</v>
      </c>
      <c r="H1114" s="84">
        <f t="shared" si="132"/>
        <v>100000</v>
      </c>
      <c r="I1114" s="63">
        <v>100000</v>
      </c>
      <c r="J1114" s="17"/>
      <c r="K1114" s="17"/>
      <c r="L1114" s="17"/>
      <c r="M1114" s="17"/>
      <c r="N1114" s="17"/>
      <c r="O1114" s="17">
        <v>50000</v>
      </c>
      <c r="P1114" s="17"/>
      <c r="Q1114" s="17">
        <f>100000-50000</f>
        <v>50000</v>
      </c>
      <c r="R1114" s="17"/>
      <c r="S1114" s="17"/>
      <c r="T1114" s="17"/>
      <c r="U1114" s="17"/>
      <c r="V1114" s="17">
        <f t="shared" si="120"/>
        <v>0</v>
      </c>
      <c r="W1114" s="17">
        <v>49099.18</v>
      </c>
    </row>
    <row r="1115" spans="1:23" ht="54">
      <c r="A1115" s="147"/>
      <c r="B1115" s="134"/>
      <c r="C1115" s="147"/>
      <c r="D1115" s="148"/>
      <c r="E1115" s="12" t="s">
        <v>974</v>
      </c>
      <c r="F1115" s="84">
        <f t="shared" si="133"/>
        <v>400000</v>
      </c>
      <c r="G1115" s="83">
        <v>1</v>
      </c>
      <c r="H1115" s="84">
        <f t="shared" si="132"/>
        <v>400000</v>
      </c>
      <c r="I1115" s="63">
        <f>500000-100000</f>
        <v>400000</v>
      </c>
      <c r="J1115" s="17"/>
      <c r="K1115" s="17"/>
      <c r="L1115" s="17"/>
      <c r="M1115" s="17"/>
      <c r="N1115" s="17"/>
      <c r="O1115" s="17">
        <v>210000</v>
      </c>
      <c r="P1115" s="17"/>
      <c r="Q1115" s="17"/>
      <c r="R1115" s="17"/>
      <c r="S1115" s="17">
        <f>290000-210000</f>
        <v>80000</v>
      </c>
      <c r="T1115" s="17">
        <f>210000-100000</f>
        <v>110000</v>
      </c>
      <c r="U1115" s="17"/>
      <c r="V1115" s="17">
        <f t="shared" si="120"/>
        <v>0</v>
      </c>
      <c r="W1115" s="17">
        <f>2380.32+206550.4</f>
        <v>208930.72</v>
      </c>
    </row>
    <row r="1116" spans="1:23" ht="54">
      <c r="A1116" s="147"/>
      <c r="B1116" s="134"/>
      <c r="C1116" s="147"/>
      <c r="D1116" s="148"/>
      <c r="E1116" s="12" t="s">
        <v>975</v>
      </c>
      <c r="F1116" s="84">
        <f t="shared" si="133"/>
        <v>80000</v>
      </c>
      <c r="G1116" s="83">
        <v>1</v>
      </c>
      <c r="H1116" s="84">
        <f t="shared" si="132"/>
        <v>80000</v>
      </c>
      <c r="I1116" s="63">
        <v>80000</v>
      </c>
      <c r="J1116" s="17"/>
      <c r="K1116" s="17"/>
      <c r="L1116" s="17">
        <v>80000</v>
      </c>
      <c r="M1116" s="17"/>
      <c r="N1116" s="17"/>
      <c r="O1116" s="17">
        <v>-40000</v>
      </c>
      <c r="P1116" s="17"/>
      <c r="Q1116" s="17">
        <v>40000</v>
      </c>
      <c r="R1116" s="17"/>
      <c r="S1116" s="17"/>
      <c r="T1116" s="17"/>
      <c r="U1116" s="17"/>
      <c r="V1116" s="17">
        <f t="shared" si="120"/>
        <v>0</v>
      </c>
      <c r="W1116" s="17"/>
    </row>
    <row r="1117" spans="1:23" ht="36">
      <c r="A1117" s="147"/>
      <c r="B1117" s="134"/>
      <c r="C1117" s="147"/>
      <c r="D1117" s="148"/>
      <c r="E1117" s="12" t="s">
        <v>992</v>
      </c>
      <c r="F1117" s="84">
        <f t="shared" si="133"/>
        <v>200000</v>
      </c>
      <c r="G1117" s="83">
        <v>1</v>
      </c>
      <c r="H1117" s="84">
        <f t="shared" si="132"/>
        <v>200000</v>
      </c>
      <c r="I1117" s="63">
        <v>200000</v>
      </c>
      <c r="J1117" s="17"/>
      <c r="K1117" s="17"/>
      <c r="L1117" s="17"/>
      <c r="M1117" s="17"/>
      <c r="N1117" s="17"/>
      <c r="O1117" s="17">
        <v>40000</v>
      </c>
      <c r="P1117" s="17"/>
      <c r="Q1117" s="17">
        <v>50000</v>
      </c>
      <c r="R1117" s="17"/>
      <c r="S1117" s="17">
        <f>50000-40000</f>
        <v>10000</v>
      </c>
      <c r="T1117" s="17">
        <v>100000</v>
      </c>
      <c r="U1117" s="17"/>
      <c r="V1117" s="17">
        <f t="shared" si="120"/>
        <v>0</v>
      </c>
      <c r="W1117" s="17">
        <v>38783.4</v>
      </c>
    </row>
    <row r="1118" spans="1:23" ht="36">
      <c r="A1118" s="147"/>
      <c r="B1118" s="134"/>
      <c r="C1118" s="147"/>
      <c r="D1118" s="148"/>
      <c r="E1118" s="12" t="s">
        <v>993</v>
      </c>
      <c r="F1118" s="84">
        <f t="shared" si="133"/>
        <v>200000</v>
      </c>
      <c r="G1118" s="83">
        <v>1</v>
      </c>
      <c r="H1118" s="84">
        <f t="shared" si="132"/>
        <v>200000</v>
      </c>
      <c r="I1118" s="63">
        <v>200000</v>
      </c>
      <c r="J1118" s="17"/>
      <c r="K1118" s="17"/>
      <c r="L1118" s="17"/>
      <c r="M1118" s="17"/>
      <c r="N1118" s="17"/>
      <c r="O1118" s="17">
        <v>100000</v>
      </c>
      <c r="P1118" s="17">
        <v>30000</v>
      </c>
      <c r="Q1118" s="17">
        <v>50000</v>
      </c>
      <c r="R1118" s="17"/>
      <c r="S1118" s="17">
        <f>120000-100000</f>
        <v>20000</v>
      </c>
      <c r="T1118" s="17"/>
      <c r="U1118" s="17"/>
      <c r="V1118" s="17">
        <f t="shared" si="120"/>
        <v>0</v>
      </c>
      <c r="W1118" s="17">
        <v>98207.96</v>
      </c>
    </row>
    <row r="1119" spans="1:23" ht="80.25" customHeight="1">
      <c r="A1119" s="147"/>
      <c r="B1119" s="133"/>
      <c r="C1119" s="147"/>
      <c r="D1119" s="148"/>
      <c r="E1119" s="12" t="s">
        <v>994</v>
      </c>
      <c r="F1119" s="84">
        <f t="shared" si="133"/>
        <v>20000</v>
      </c>
      <c r="G1119" s="83">
        <v>1</v>
      </c>
      <c r="H1119" s="84">
        <f t="shared" si="132"/>
        <v>20000</v>
      </c>
      <c r="I1119" s="63">
        <v>20000</v>
      </c>
      <c r="J1119" s="17"/>
      <c r="K1119" s="17"/>
      <c r="L1119" s="17">
        <v>20000</v>
      </c>
      <c r="M1119" s="17"/>
      <c r="N1119" s="17"/>
      <c r="O1119" s="17">
        <v>-20000</v>
      </c>
      <c r="P1119" s="17"/>
      <c r="Q1119" s="17">
        <v>20000</v>
      </c>
      <c r="R1119" s="17"/>
      <c r="S1119" s="17"/>
      <c r="T1119" s="17"/>
      <c r="U1119" s="17"/>
      <c r="V1119" s="17">
        <f t="shared" si="120"/>
        <v>0</v>
      </c>
      <c r="W1119" s="17"/>
    </row>
    <row r="1120" spans="1:23" ht="34.5">
      <c r="A1120" s="23" t="s">
        <v>478</v>
      </c>
      <c r="B1120" s="23"/>
      <c r="C1120" s="23"/>
      <c r="D1120" s="140" t="s">
        <v>1008</v>
      </c>
      <c r="E1120" s="34"/>
      <c r="F1120" s="34"/>
      <c r="G1120" s="34"/>
      <c r="H1120" s="34"/>
      <c r="I1120" s="35">
        <f>I1121</f>
        <v>180000</v>
      </c>
      <c r="J1120" s="35">
        <f aca="true" t="shared" si="134" ref="J1120:W1121">J1121</f>
        <v>0</v>
      </c>
      <c r="K1120" s="35">
        <f t="shared" si="134"/>
        <v>0</v>
      </c>
      <c r="L1120" s="35">
        <f t="shared" si="134"/>
        <v>0</v>
      </c>
      <c r="M1120" s="35">
        <f t="shared" si="134"/>
        <v>0</v>
      </c>
      <c r="N1120" s="35">
        <f t="shared" si="134"/>
        <v>0</v>
      </c>
      <c r="O1120" s="35">
        <f t="shared" si="134"/>
        <v>180000</v>
      </c>
      <c r="P1120" s="35">
        <f t="shared" si="134"/>
        <v>0</v>
      </c>
      <c r="Q1120" s="35">
        <f t="shared" si="134"/>
        <v>0</v>
      </c>
      <c r="R1120" s="35">
        <f t="shared" si="134"/>
        <v>0</v>
      </c>
      <c r="S1120" s="35">
        <f t="shared" si="134"/>
        <v>0</v>
      </c>
      <c r="T1120" s="35">
        <f t="shared" si="134"/>
        <v>0</v>
      </c>
      <c r="U1120" s="35">
        <f t="shared" si="134"/>
        <v>0</v>
      </c>
      <c r="V1120" s="35">
        <f t="shared" si="134"/>
        <v>0</v>
      </c>
      <c r="W1120" s="35">
        <f t="shared" si="134"/>
        <v>11100</v>
      </c>
    </row>
    <row r="1121" spans="1:23" ht="34.5">
      <c r="A1121" s="23" t="s">
        <v>479</v>
      </c>
      <c r="B1121" s="23"/>
      <c r="C1121" s="23"/>
      <c r="D1121" s="140" t="s">
        <v>1008</v>
      </c>
      <c r="E1121" s="34"/>
      <c r="F1121" s="34"/>
      <c r="G1121" s="34"/>
      <c r="H1121" s="34"/>
      <c r="I1121" s="35">
        <f>I1122</f>
        <v>180000</v>
      </c>
      <c r="J1121" s="35">
        <f t="shared" si="134"/>
        <v>0</v>
      </c>
      <c r="K1121" s="35">
        <f t="shared" si="134"/>
        <v>0</v>
      </c>
      <c r="L1121" s="35">
        <f t="shared" si="134"/>
        <v>0</v>
      </c>
      <c r="M1121" s="35">
        <f t="shared" si="134"/>
        <v>0</v>
      </c>
      <c r="N1121" s="35">
        <f t="shared" si="134"/>
        <v>0</v>
      </c>
      <c r="O1121" s="35">
        <f t="shared" si="134"/>
        <v>180000</v>
      </c>
      <c r="P1121" s="35">
        <f t="shared" si="134"/>
        <v>0</v>
      </c>
      <c r="Q1121" s="35">
        <f t="shared" si="134"/>
        <v>0</v>
      </c>
      <c r="R1121" s="35">
        <f t="shared" si="134"/>
        <v>0</v>
      </c>
      <c r="S1121" s="35">
        <f t="shared" si="134"/>
        <v>0</v>
      </c>
      <c r="T1121" s="35">
        <f t="shared" si="134"/>
        <v>0</v>
      </c>
      <c r="U1121" s="35">
        <f t="shared" si="134"/>
        <v>0</v>
      </c>
      <c r="V1121" s="35">
        <f t="shared" si="134"/>
        <v>0</v>
      </c>
      <c r="W1121" s="35">
        <f t="shared" si="134"/>
        <v>11100</v>
      </c>
    </row>
    <row r="1122" spans="1:23" ht="17.25">
      <c r="A1122" s="147" t="s">
        <v>404</v>
      </c>
      <c r="B1122" s="132" t="s">
        <v>677</v>
      </c>
      <c r="C1122" s="147" t="s">
        <v>676</v>
      </c>
      <c r="D1122" s="148" t="s">
        <v>868</v>
      </c>
      <c r="E1122" s="34"/>
      <c r="F1122" s="34"/>
      <c r="G1122" s="34"/>
      <c r="H1122" s="34"/>
      <c r="I1122" s="35">
        <f>SUM(I1123:I1123)</f>
        <v>180000</v>
      </c>
      <c r="J1122" s="35">
        <f aca="true" t="shared" si="135" ref="J1122:W1122">SUM(J1123:J1123)</f>
        <v>0</v>
      </c>
      <c r="K1122" s="35">
        <f t="shared" si="135"/>
        <v>0</v>
      </c>
      <c r="L1122" s="35">
        <f t="shared" si="135"/>
        <v>0</v>
      </c>
      <c r="M1122" s="35">
        <f t="shared" si="135"/>
        <v>0</v>
      </c>
      <c r="N1122" s="35">
        <f t="shared" si="135"/>
        <v>0</v>
      </c>
      <c r="O1122" s="35">
        <f t="shared" si="135"/>
        <v>180000</v>
      </c>
      <c r="P1122" s="35">
        <f t="shared" si="135"/>
        <v>0</v>
      </c>
      <c r="Q1122" s="35">
        <f t="shared" si="135"/>
        <v>0</v>
      </c>
      <c r="R1122" s="35">
        <f t="shared" si="135"/>
        <v>0</v>
      </c>
      <c r="S1122" s="35">
        <f t="shared" si="135"/>
        <v>0</v>
      </c>
      <c r="T1122" s="35">
        <f t="shared" si="135"/>
        <v>0</v>
      </c>
      <c r="U1122" s="35">
        <f t="shared" si="135"/>
        <v>0</v>
      </c>
      <c r="V1122" s="35">
        <f t="shared" si="135"/>
        <v>0</v>
      </c>
      <c r="W1122" s="35">
        <f t="shared" si="135"/>
        <v>11100</v>
      </c>
    </row>
    <row r="1123" spans="1:23" ht="36">
      <c r="A1123" s="147"/>
      <c r="B1123" s="133"/>
      <c r="C1123" s="147"/>
      <c r="D1123" s="148"/>
      <c r="E1123" s="36" t="s">
        <v>195</v>
      </c>
      <c r="F1123" s="36"/>
      <c r="G1123" s="36"/>
      <c r="H1123" s="36"/>
      <c r="I1123" s="30">
        <v>180000</v>
      </c>
      <c r="J1123" s="17"/>
      <c r="K1123" s="17"/>
      <c r="L1123" s="17"/>
      <c r="M1123" s="17"/>
      <c r="N1123" s="17"/>
      <c r="O1123" s="17">
        <v>180000</v>
      </c>
      <c r="P1123" s="17"/>
      <c r="Q1123" s="17"/>
      <c r="R1123" s="17"/>
      <c r="S1123" s="17"/>
      <c r="T1123" s="17"/>
      <c r="U1123" s="17"/>
      <c r="V1123" s="17">
        <f t="shared" si="120"/>
        <v>0</v>
      </c>
      <c r="W1123" s="17">
        <f>11100</f>
        <v>11100</v>
      </c>
    </row>
    <row r="1124" spans="1:23" ht="63" customHeight="1" hidden="1">
      <c r="A1124" s="147"/>
      <c r="B1124" s="147"/>
      <c r="C1124" s="147"/>
      <c r="D1124" s="148"/>
      <c r="E1124" s="18" t="s">
        <v>1006</v>
      </c>
      <c r="F1124" s="63"/>
      <c r="G1124" s="99"/>
      <c r="H1124" s="100"/>
      <c r="I1124" s="19">
        <f>SUM(I1125:I1130)</f>
        <v>0</v>
      </c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>
        <f t="shared" si="120"/>
        <v>0</v>
      </c>
      <c r="W1124" s="17"/>
    </row>
    <row r="1125" spans="1:23" ht="18.75" customHeight="1" hidden="1">
      <c r="A1125" s="147"/>
      <c r="B1125" s="147"/>
      <c r="C1125" s="147"/>
      <c r="D1125" s="148"/>
      <c r="E1125" s="62"/>
      <c r="F1125" s="101"/>
      <c r="G1125" s="76"/>
      <c r="H1125" s="101"/>
      <c r="I1125" s="30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>
        <f t="shared" si="120"/>
        <v>0</v>
      </c>
      <c r="W1125" s="17"/>
    </row>
    <row r="1126" spans="1:23" ht="35.25" customHeight="1" hidden="1">
      <c r="A1126" s="147"/>
      <c r="B1126" s="147"/>
      <c r="C1126" s="147"/>
      <c r="D1126" s="148"/>
      <c r="E1126" s="62"/>
      <c r="F1126" s="101"/>
      <c r="G1126" s="76"/>
      <c r="H1126" s="101"/>
      <c r="I1126" s="30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>
        <f t="shared" si="120"/>
        <v>0</v>
      </c>
      <c r="W1126" s="17"/>
    </row>
    <row r="1127" spans="1:23" ht="35.25" customHeight="1" hidden="1">
      <c r="A1127" s="147"/>
      <c r="B1127" s="147"/>
      <c r="C1127" s="147"/>
      <c r="D1127" s="148"/>
      <c r="E1127" s="62"/>
      <c r="F1127" s="101"/>
      <c r="G1127" s="76"/>
      <c r="H1127" s="101"/>
      <c r="I1127" s="30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>
        <f t="shared" si="120"/>
        <v>0</v>
      </c>
      <c r="W1127" s="17"/>
    </row>
    <row r="1128" spans="1:23" ht="39.75" customHeight="1" hidden="1">
      <c r="A1128" s="147"/>
      <c r="B1128" s="147"/>
      <c r="C1128" s="147"/>
      <c r="D1128" s="148"/>
      <c r="E1128" s="62"/>
      <c r="F1128" s="101"/>
      <c r="G1128" s="76"/>
      <c r="H1128" s="101"/>
      <c r="I1128" s="30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>
        <f t="shared" si="120"/>
        <v>0</v>
      </c>
      <c r="W1128" s="17"/>
    </row>
    <row r="1129" spans="1:23" ht="18.75" customHeight="1" hidden="1">
      <c r="A1129" s="147"/>
      <c r="B1129" s="147"/>
      <c r="C1129" s="147"/>
      <c r="D1129" s="148"/>
      <c r="E1129" s="62"/>
      <c r="F1129" s="101"/>
      <c r="G1129" s="76"/>
      <c r="H1129" s="101"/>
      <c r="I1129" s="30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>
        <f t="shared" si="120"/>
        <v>0</v>
      </c>
      <c r="W1129" s="17"/>
    </row>
    <row r="1130" spans="1:23" ht="36" customHeight="1" hidden="1">
      <c r="A1130" s="147"/>
      <c r="B1130" s="147"/>
      <c r="C1130" s="147"/>
      <c r="D1130" s="148"/>
      <c r="E1130" s="62"/>
      <c r="F1130" s="101"/>
      <c r="G1130" s="76"/>
      <c r="H1130" s="101"/>
      <c r="I1130" s="30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>
        <f t="shared" si="120"/>
        <v>0</v>
      </c>
      <c r="W1130" s="17"/>
    </row>
    <row r="1131" spans="1:23" ht="63" customHeight="1" hidden="1">
      <c r="A1131" s="147"/>
      <c r="B1131" s="147"/>
      <c r="C1131" s="147"/>
      <c r="D1131" s="148"/>
      <c r="E1131" s="18" t="s">
        <v>1007</v>
      </c>
      <c r="F1131" s="63"/>
      <c r="G1131" s="99"/>
      <c r="H1131" s="100"/>
      <c r="I1131" s="19">
        <v>0</v>
      </c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>
        <f aca="true" t="shared" si="136" ref="V1131:V1144">I1131-J1131-K1131-L1131-M1131-N1131-O1131-P1131-Q1131-R1131-S1131-T1131-U1131</f>
        <v>0</v>
      </c>
      <c r="W1131" s="17"/>
    </row>
    <row r="1132" spans="1:23" ht="34.5" hidden="1">
      <c r="A1132" s="23" t="s">
        <v>478</v>
      </c>
      <c r="B1132" s="23"/>
      <c r="C1132" s="23"/>
      <c r="D1132" s="184" t="s">
        <v>1008</v>
      </c>
      <c r="E1132" s="34"/>
      <c r="F1132" s="63"/>
      <c r="G1132" s="99"/>
      <c r="H1132" s="100"/>
      <c r="I1132" s="35">
        <f>I1133+I1135</f>
        <v>0</v>
      </c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>
        <f t="shared" si="136"/>
        <v>0</v>
      </c>
      <c r="W1132" s="17"/>
    </row>
    <row r="1133" spans="1:23" ht="34.5" hidden="1">
      <c r="A1133" s="23" t="s">
        <v>479</v>
      </c>
      <c r="B1133" s="23"/>
      <c r="C1133" s="23"/>
      <c r="D1133" s="184" t="s">
        <v>1008</v>
      </c>
      <c r="E1133" s="34"/>
      <c r="F1133" s="63"/>
      <c r="G1133" s="99"/>
      <c r="H1133" s="100"/>
      <c r="I1133" s="35">
        <f>I1134+I1136</f>
        <v>0</v>
      </c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>
        <f t="shared" si="136"/>
        <v>0</v>
      </c>
      <c r="W1133" s="17"/>
    </row>
    <row r="1134" spans="1:23" ht="18.75" customHeight="1" hidden="1">
      <c r="A1134" s="55"/>
      <c r="B1134" s="55"/>
      <c r="C1134" s="147" t="s">
        <v>676</v>
      </c>
      <c r="D1134" s="23"/>
      <c r="E1134" s="34"/>
      <c r="F1134" s="63"/>
      <c r="G1134" s="99"/>
      <c r="H1134" s="100"/>
      <c r="I1134" s="35">
        <f>SUM(I1135:I1135)</f>
        <v>0</v>
      </c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>
        <f t="shared" si="136"/>
        <v>0</v>
      </c>
      <c r="W1134" s="17"/>
    </row>
    <row r="1135" spans="1:23" ht="31.5" customHeight="1" hidden="1">
      <c r="A1135" s="55"/>
      <c r="B1135" s="55"/>
      <c r="C1135" s="147"/>
      <c r="D1135" s="23"/>
      <c r="E1135" s="36" t="s">
        <v>195</v>
      </c>
      <c r="F1135" s="63"/>
      <c r="G1135" s="99"/>
      <c r="H1135" s="100"/>
      <c r="I1135" s="30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>
        <f t="shared" si="136"/>
        <v>0</v>
      </c>
      <c r="W1135" s="17"/>
    </row>
    <row r="1136" spans="1:23" ht="18.75" customHeight="1" hidden="1">
      <c r="A1136" s="147" t="s">
        <v>196</v>
      </c>
      <c r="B1136" s="147" t="s">
        <v>197</v>
      </c>
      <c r="C1136" s="147" t="s">
        <v>678</v>
      </c>
      <c r="D1136" s="148" t="s">
        <v>679</v>
      </c>
      <c r="E1136" s="36"/>
      <c r="F1136" s="63"/>
      <c r="G1136" s="99"/>
      <c r="H1136" s="100"/>
      <c r="I1136" s="35">
        <f>I1137</f>
        <v>0</v>
      </c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>
        <f t="shared" si="136"/>
        <v>0</v>
      </c>
      <c r="W1136" s="17"/>
    </row>
    <row r="1137" spans="1:23" ht="47.25" customHeight="1" hidden="1">
      <c r="A1137" s="147"/>
      <c r="B1137" s="147"/>
      <c r="C1137" s="147"/>
      <c r="D1137" s="148"/>
      <c r="E1137" s="36" t="s">
        <v>219</v>
      </c>
      <c r="F1137" s="63"/>
      <c r="G1137" s="99"/>
      <c r="H1137" s="100"/>
      <c r="I1137" s="30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>
        <f t="shared" si="136"/>
        <v>0</v>
      </c>
      <c r="W1137" s="17"/>
    </row>
    <row r="1138" spans="1:23" ht="18" hidden="1">
      <c r="A1138" s="55"/>
      <c r="B1138" s="55"/>
      <c r="C1138" s="23"/>
      <c r="D1138" s="23"/>
      <c r="E1138" s="34"/>
      <c r="F1138" s="63"/>
      <c r="G1138" s="99"/>
      <c r="H1138" s="100"/>
      <c r="I1138" s="35">
        <f>I1139+I1141+I1143</f>
        <v>0</v>
      </c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>
        <f t="shared" si="136"/>
        <v>0</v>
      </c>
      <c r="W1138" s="17"/>
    </row>
    <row r="1139" spans="1:23" ht="18.75" customHeight="1" hidden="1">
      <c r="A1139" s="38"/>
      <c r="B1139" s="38"/>
      <c r="C1139" s="132" t="s">
        <v>677</v>
      </c>
      <c r="D1139" s="25"/>
      <c r="E1139" s="34"/>
      <c r="F1139" s="63"/>
      <c r="G1139" s="99"/>
      <c r="H1139" s="100"/>
      <c r="I1139" s="35">
        <f>SUM(I1140:I1140)</f>
        <v>0</v>
      </c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>
        <f t="shared" si="136"/>
        <v>0</v>
      </c>
      <c r="W1139" s="17"/>
    </row>
    <row r="1140" spans="1:23" ht="18.75" customHeight="1" hidden="1">
      <c r="A1140" s="79"/>
      <c r="B1140" s="79"/>
      <c r="C1140" s="134"/>
      <c r="D1140" s="26"/>
      <c r="E1140" s="36"/>
      <c r="F1140" s="63"/>
      <c r="G1140" s="99"/>
      <c r="H1140" s="100"/>
      <c r="I1140" s="30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>
        <f t="shared" si="136"/>
        <v>0</v>
      </c>
      <c r="W1140" s="17"/>
    </row>
    <row r="1141" spans="1:23" ht="18.75" customHeight="1" hidden="1">
      <c r="A1141" s="38"/>
      <c r="B1141" s="38"/>
      <c r="C1141" s="132" t="s">
        <v>677</v>
      </c>
      <c r="D1141" s="25"/>
      <c r="E1141" s="34"/>
      <c r="F1141" s="63"/>
      <c r="G1141" s="99"/>
      <c r="H1141" s="100"/>
      <c r="I1141" s="35">
        <f>I1142</f>
        <v>0</v>
      </c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>
        <f t="shared" si="136"/>
        <v>0</v>
      </c>
      <c r="W1141" s="17"/>
    </row>
    <row r="1142" spans="1:23" ht="63" customHeight="1" hidden="1">
      <c r="A1142" s="80"/>
      <c r="B1142" s="80"/>
      <c r="C1142" s="133"/>
      <c r="D1142" s="28"/>
      <c r="E1142" s="34" t="s">
        <v>995</v>
      </c>
      <c r="F1142" s="63"/>
      <c r="G1142" s="99"/>
      <c r="H1142" s="100"/>
      <c r="I1142" s="30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>
        <f t="shared" si="136"/>
        <v>0</v>
      </c>
      <c r="W1142" s="17"/>
    </row>
    <row r="1143" spans="1:23" ht="18.75" customHeight="1" hidden="1">
      <c r="A1143" s="38"/>
      <c r="B1143" s="38"/>
      <c r="C1143" s="132" t="s">
        <v>677</v>
      </c>
      <c r="D1143" s="25"/>
      <c r="E1143" s="34"/>
      <c r="F1143" s="63"/>
      <c r="G1143" s="99"/>
      <c r="H1143" s="100"/>
      <c r="I1143" s="35">
        <f>I1144</f>
        <v>0</v>
      </c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>
        <f t="shared" si="136"/>
        <v>0</v>
      </c>
      <c r="W1143" s="17"/>
    </row>
    <row r="1144" spans="1:23" ht="18.75" customHeight="1" hidden="1">
      <c r="A1144" s="79"/>
      <c r="B1144" s="79"/>
      <c r="C1144" s="134"/>
      <c r="D1144" s="26"/>
      <c r="E1144" s="36"/>
      <c r="F1144" s="63"/>
      <c r="G1144" s="99"/>
      <c r="H1144" s="100"/>
      <c r="I1144" s="30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>
        <f t="shared" si="136"/>
        <v>0</v>
      </c>
      <c r="W1144" s="17"/>
    </row>
    <row r="1145" spans="1:23" ht="17.25">
      <c r="A1145" s="185" t="s">
        <v>673</v>
      </c>
      <c r="B1145" s="186"/>
      <c r="C1145" s="186"/>
      <c r="D1145" s="186"/>
      <c r="E1145" s="187"/>
      <c r="F1145" s="19"/>
      <c r="G1145" s="188"/>
      <c r="H1145" s="93"/>
      <c r="I1145" s="19">
        <f aca="true" t="shared" si="137" ref="I1145:W1145">I5+I35+I41+I372+I413+I443+I447+I982+I1087+I1120</f>
        <v>669905110.2</v>
      </c>
      <c r="J1145" s="19">
        <f t="shared" si="137"/>
        <v>1250000</v>
      </c>
      <c r="K1145" s="19">
        <f t="shared" si="137"/>
        <v>12280515</v>
      </c>
      <c r="L1145" s="19">
        <f t="shared" si="137"/>
        <v>88916091.66</v>
      </c>
      <c r="M1145" s="19">
        <f t="shared" si="137"/>
        <v>55651294.6</v>
      </c>
      <c r="N1145" s="19">
        <f t="shared" si="137"/>
        <v>27892416.3</v>
      </c>
      <c r="O1145" s="19">
        <f t="shared" si="137"/>
        <v>25964382.57</v>
      </c>
      <c r="P1145" s="19">
        <f t="shared" si="137"/>
        <v>75685588.00999999</v>
      </c>
      <c r="Q1145" s="19">
        <f t="shared" si="137"/>
        <v>73265050.17</v>
      </c>
      <c r="R1145" s="19">
        <f t="shared" si="137"/>
        <v>46303381.489999995</v>
      </c>
      <c r="S1145" s="19">
        <f t="shared" si="137"/>
        <v>62801980.55</v>
      </c>
      <c r="T1145" s="19">
        <f t="shared" si="137"/>
        <v>96636082.21000001</v>
      </c>
      <c r="U1145" s="19">
        <f t="shared" si="137"/>
        <v>103188327.64</v>
      </c>
      <c r="V1145" s="19">
        <f t="shared" si="137"/>
        <v>69999.99999999805</v>
      </c>
      <c r="W1145" s="19">
        <f t="shared" si="137"/>
        <v>169466801.39999998</v>
      </c>
    </row>
  </sheetData>
  <sheetProtection/>
  <mergeCells count="279">
    <mergeCell ref="B7:B24"/>
    <mergeCell ref="B25:B28"/>
    <mergeCell ref="A1145:E1145"/>
    <mergeCell ref="C949:C951"/>
    <mergeCell ref="C934:C938"/>
    <mergeCell ref="C1006:C1024"/>
    <mergeCell ref="D1006:D1024"/>
    <mergeCell ref="B1006:B1024"/>
    <mergeCell ref="A1122:A1123"/>
    <mergeCell ref="A1002:A1005"/>
    <mergeCell ref="D1002:D1005"/>
    <mergeCell ref="D1028:D1029"/>
    <mergeCell ref="C1025:C1027"/>
    <mergeCell ref="C997:C1001"/>
    <mergeCell ref="D997:D1001"/>
    <mergeCell ref="D1025:D1027"/>
    <mergeCell ref="D29:D30"/>
    <mergeCell ref="D37:D40"/>
    <mergeCell ref="B37:B40"/>
    <mergeCell ref="C29:C30"/>
    <mergeCell ref="C7:C24"/>
    <mergeCell ref="D7:D24"/>
    <mergeCell ref="A25:A28"/>
    <mergeCell ref="C25:C28"/>
    <mergeCell ref="D988:D992"/>
    <mergeCell ref="A29:A30"/>
    <mergeCell ref="C984:C987"/>
    <mergeCell ref="D405:D406"/>
    <mergeCell ref="C702:C880"/>
    <mergeCell ref="C881:C882"/>
    <mergeCell ref="A881:A882"/>
    <mergeCell ref="B881:B882"/>
    <mergeCell ref="B702:B880"/>
    <mergeCell ref="A702:A880"/>
    <mergeCell ref="D993:D994"/>
    <mergeCell ref="C993:C994"/>
    <mergeCell ref="D43:D117"/>
    <mergeCell ref="A43:A117"/>
    <mergeCell ref="D395:D401"/>
    <mergeCell ref="B402:B404"/>
    <mergeCell ref="B367:B371"/>
    <mergeCell ref="C367:C371"/>
    <mergeCell ref="B883:B884"/>
    <mergeCell ref="C578:C701"/>
    <mergeCell ref="D25:D28"/>
    <mergeCell ref="A1124:A1131"/>
    <mergeCell ref="A1068:A1069"/>
    <mergeCell ref="A1096:A1103"/>
    <mergeCell ref="A1006:A1024"/>
    <mergeCell ref="A1028:A1029"/>
    <mergeCell ref="D31:D34"/>
    <mergeCell ref="C31:C34"/>
    <mergeCell ref="C883:C884"/>
    <mergeCell ref="B246:B247"/>
    <mergeCell ref="A7:A24"/>
    <mergeCell ref="B29:B30"/>
    <mergeCell ref="A993:A994"/>
    <mergeCell ref="A997:A1001"/>
    <mergeCell ref="A995:A996"/>
    <mergeCell ref="B988:B992"/>
    <mergeCell ref="A31:A34"/>
    <mergeCell ref="B31:B34"/>
    <mergeCell ref="A883:A884"/>
    <mergeCell ref="B357:B366"/>
    <mergeCell ref="A1136:A1137"/>
    <mergeCell ref="A1025:A1027"/>
    <mergeCell ref="B1025:B1027"/>
    <mergeCell ref="B1028:B1029"/>
    <mergeCell ref="B1124:B1131"/>
    <mergeCell ref="A1065:A1067"/>
    <mergeCell ref="B1030:B1064"/>
    <mergeCell ref="B1065:B1067"/>
    <mergeCell ref="A1104:A1119"/>
    <mergeCell ref="A1030:A1064"/>
    <mergeCell ref="D1136:D1137"/>
    <mergeCell ref="C1002:C1005"/>
    <mergeCell ref="D995:D996"/>
    <mergeCell ref="D1030:D1064"/>
    <mergeCell ref="C1065:C1067"/>
    <mergeCell ref="D1065:D1067"/>
    <mergeCell ref="D1124:D1131"/>
    <mergeCell ref="C1124:C1131"/>
    <mergeCell ref="C1104:C1119"/>
    <mergeCell ref="C995:C996"/>
    <mergeCell ref="D391:D394"/>
    <mergeCell ref="C376:C390"/>
    <mergeCell ref="D310:D356"/>
    <mergeCell ref="D357:D366"/>
    <mergeCell ref="D246:D249"/>
    <mergeCell ref="A246:A249"/>
    <mergeCell ref="C407:C410"/>
    <mergeCell ref="D374:D375"/>
    <mergeCell ref="D376:D390"/>
    <mergeCell ref="C391:C394"/>
    <mergeCell ref="D367:D371"/>
    <mergeCell ref="C395:C401"/>
    <mergeCell ref="B310:B356"/>
    <mergeCell ref="B250:B309"/>
    <mergeCell ref="A250:A309"/>
    <mergeCell ref="B407:B410"/>
    <mergeCell ref="B395:B401"/>
    <mergeCell ref="B376:B390"/>
    <mergeCell ref="B391:B394"/>
    <mergeCell ref="A310:A356"/>
    <mergeCell ref="A357:A366"/>
    <mergeCell ref="B374:B375"/>
    <mergeCell ref="A988:A992"/>
    <mergeCell ref="C902:C904"/>
    <mergeCell ref="C896:C901"/>
    <mergeCell ref="C954:C959"/>
    <mergeCell ref="C914:C918"/>
    <mergeCell ref="C961:C981"/>
    <mergeCell ref="C988:C992"/>
    <mergeCell ref="A984:A987"/>
    <mergeCell ref="A507:A574"/>
    <mergeCell ref="A367:A371"/>
    <mergeCell ref="A505:A506"/>
    <mergeCell ref="A407:A410"/>
    <mergeCell ref="A405:A406"/>
    <mergeCell ref="A415:A421"/>
    <mergeCell ref="A449:A504"/>
    <mergeCell ref="A374:A375"/>
    <mergeCell ref="A411:A412"/>
    <mergeCell ref="A395:A401"/>
    <mergeCell ref="B1136:B1137"/>
    <mergeCell ref="C890:C895"/>
    <mergeCell ref="C907:C909"/>
    <mergeCell ref="C885:C889"/>
    <mergeCell ref="C1028:C1029"/>
    <mergeCell ref="C1030:C1064"/>
    <mergeCell ref="C919:C924"/>
    <mergeCell ref="C943:C948"/>
    <mergeCell ref="B984:B987"/>
    <mergeCell ref="C952:C953"/>
    <mergeCell ref="C1143:C1144"/>
    <mergeCell ref="C1134:C1135"/>
    <mergeCell ref="C1136:C1137"/>
    <mergeCell ref="C1141:C1142"/>
    <mergeCell ref="C1139:C1140"/>
    <mergeCell ref="A422:A424"/>
    <mergeCell ref="A376:A390"/>
    <mergeCell ref="A391:A394"/>
    <mergeCell ref="A402:A404"/>
    <mergeCell ref="D422:D424"/>
    <mergeCell ref="B422:B424"/>
    <mergeCell ref="B411:B412"/>
    <mergeCell ref="B427:B442"/>
    <mergeCell ref="D427:D442"/>
    <mergeCell ref="C427:C442"/>
    <mergeCell ref="B415:B421"/>
    <mergeCell ref="C422:C424"/>
    <mergeCell ref="D415:D421"/>
    <mergeCell ref="D411:D412"/>
    <mergeCell ref="D984:D987"/>
    <mergeCell ref="C939:C942"/>
    <mergeCell ref="D881:D882"/>
    <mergeCell ref="B425:B426"/>
    <mergeCell ref="D505:D506"/>
    <mergeCell ref="D449:D504"/>
    <mergeCell ref="C449:C504"/>
    <mergeCell ref="B505:B506"/>
    <mergeCell ref="C505:C506"/>
    <mergeCell ref="B449:B504"/>
    <mergeCell ref="C575:C577"/>
    <mergeCell ref="B575:B577"/>
    <mergeCell ref="B507:B574"/>
    <mergeCell ref="C425:C426"/>
    <mergeCell ref="B445:B446"/>
    <mergeCell ref="C445:C446"/>
    <mergeCell ref="A425:A426"/>
    <mergeCell ref="C932:C933"/>
    <mergeCell ref="C905:C906"/>
    <mergeCell ref="C925:C929"/>
    <mergeCell ref="C507:C574"/>
    <mergeCell ref="B578:B701"/>
    <mergeCell ref="A578:A701"/>
    <mergeCell ref="A575:A577"/>
    <mergeCell ref="A427:A442"/>
    <mergeCell ref="A445:A446"/>
    <mergeCell ref="D445:D446"/>
    <mergeCell ref="D425:D426"/>
    <mergeCell ref="D883:D884"/>
    <mergeCell ref="D212:D213"/>
    <mergeCell ref="D507:D574"/>
    <mergeCell ref="D250:D309"/>
    <mergeCell ref="D578:D701"/>
    <mergeCell ref="D702:D880"/>
    <mergeCell ref="D575:D577"/>
    <mergeCell ref="D407:D410"/>
    <mergeCell ref="C415:C421"/>
    <mergeCell ref="C411:C412"/>
    <mergeCell ref="C374:C375"/>
    <mergeCell ref="B238:B245"/>
    <mergeCell ref="C310:C356"/>
    <mergeCell ref="C250:C309"/>
    <mergeCell ref="C246:C249"/>
    <mergeCell ref="C357:C366"/>
    <mergeCell ref="B226:B235"/>
    <mergeCell ref="D226:D235"/>
    <mergeCell ref="B223:B224"/>
    <mergeCell ref="D238:D245"/>
    <mergeCell ref="C238:C245"/>
    <mergeCell ref="C226:C235"/>
    <mergeCell ref="C236:C237"/>
    <mergeCell ref="A238:A245"/>
    <mergeCell ref="A220:A222"/>
    <mergeCell ref="A226:A235"/>
    <mergeCell ref="A236:A237"/>
    <mergeCell ref="A223:A224"/>
    <mergeCell ref="A207:A208"/>
    <mergeCell ref="A209:A211"/>
    <mergeCell ref="C207:C208"/>
    <mergeCell ref="D207:D208"/>
    <mergeCell ref="D209:D211"/>
    <mergeCell ref="B214:B216"/>
    <mergeCell ref="A214:A216"/>
    <mergeCell ref="D214:D216"/>
    <mergeCell ref="D402:D404"/>
    <mergeCell ref="C223:C224"/>
    <mergeCell ref="D223:D224"/>
    <mergeCell ref="D236:D237"/>
    <mergeCell ref="C220:C222"/>
    <mergeCell ref="D220:D222"/>
    <mergeCell ref="D217:D219"/>
    <mergeCell ref="C195:C196"/>
    <mergeCell ref="A197:A202"/>
    <mergeCell ref="C197:C202"/>
    <mergeCell ref="B195:B196"/>
    <mergeCell ref="B197:B202"/>
    <mergeCell ref="A212:A213"/>
    <mergeCell ref="A217:A219"/>
    <mergeCell ref="C217:C219"/>
    <mergeCell ref="D195:D196"/>
    <mergeCell ref="D197:D202"/>
    <mergeCell ref="D203:D204"/>
    <mergeCell ref="C205:C206"/>
    <mergeCell ref="D205:D206"/>
    <mergeCell ref="C203:C204"/>
    <mergeCell ref="A195:A196"/>
    <mergeCell ref="A37:A40"/>
    <mergeCell ref="C37:C40"/>
    <mergeCell ref="C911:C912"/>
    <mergeCell ref="C930:C931"/>
    <mergeCell ref="C402:C404"/>
    <mergeCell ref="C214:C216"/>
    <mergeCell ref="C209:C211"/>
    <mergeCell ref="C212:C213"/>
    <mergeCell ref="A203:A204"/>
    <mergeCell ref="A205:A206"/>
    <mergeCell ref="D1068:D1069"/>
    <mergeCell ref="A1070:A1086"/>
    <mergeCell ref="C1070:C1086"/>
    <mergeCell ref="D1070:D1086"/>
    <mergeCell ref="B1070:B1086"/>
    <mergeCell ref="C1068:C1069"/>
    <mergeCell ref="D1089:D1093"/>
    <mergeCell ref="A1094:A1095"/>
    <mergeCell ref="C1094:C1095"/>
    <mergeCell ref="D1094:D1095"/>
    <mergeCell ref="B1089:B1093"/>
    <mergeCell ref="B1094:B1095"/>
    <mergeCell ref="A1089:A1093"/>
    <mergeCell ref="C1089:C1093"/>
    <mergeCell ref="C1096:C1103"/>
    <mergeCell ref="D1096:D1103"/>
    <mergeCell ref="B1096:B1103"/>
    <mergeCell ref="D1104:D1119"/>
    <mergeCell ref="C1122:C1123"/>
    <mergeCell ref="D1122:D1123"/>
    <mergeCell ref="B1104:B1119"/>
    <mergeCell ref="B1122:B1123"/>
    <mergeCell ref="E1010:E1011"/>
    <mergeCell ref="A2:W2"/>
    <mergeCell ref="A118:A194"/>
    <mergeCell ref="C118:C194"/>
    <mergeCell ref="D118:D194"/>
    <mergeCell ref="B43:B116"/>
    <mergeCell ref="C43:C116"/>
    <mergeCell ref="B118:B194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2017-07-04T12:59:37Z</dcterms:modified>
  <cp:category/>
  <cp:version/>
  <cp:contentType/>
  <cp:contentStatus/>
</cp:coreProperties>
</file>